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1580"/>
  </bookViews>
  <sheets>
    <sheet name="ธ.ค.59" sheetId="1" r:id="rId1"/>
    <sheet name="DATA ธ.ค.59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I16" i="2" l="1"/>
  <c r="AF15" i="2"/>
  <c r="AH15" i="2"/>
  <c r="AI15" i="2"/>
  <c r="V15" i="2"/>
  <c r="O15" i="2"/>
  <c r="AI14" i="2"/>
  <c r="V14" i="2"/>
  <c r="AD14" i="2"/>
  <c r="O14" i="2" l="1"/>
  <c r="AI13" i="2"/>
  <c r="V13" i="2"/>
  <c r="AD13" i="2"/>
  <c r="O13" i="2"/>
  <c r="AI12" i="2"/>
  <c r="V12" i="2"/>
  <c r="AD12" i="2"/>
  <c r="AF12" i="2"/>
  <c r="O12" i="2"/>
  <c r="AI11" i="2"/>
  <c r="V11" i="2"/>
  <c r="AD11" i="2"/>
  <c r="O11" i="2"/>
  <c r="AI10" i="2"/>
  <c r="AF10" i="2"/>
  <c r="V10" i="2"/>
  <c r="AD10" i="2"/>
  <c r="O10" i="2"/>
  <c r="AI9" i="2"/>
  <c r="V9" i="2"/>
  <c r="AD9" i="2"/>
  <c r="O9" i="2"/>
  <c r="AI8" i="2"/>
  <c r="V8" i="2"/>
  <c r="AE8" i="2"/>
  <c r="AD8" i="2"/>
  <c r="O8" i="2"/>
  <c r="AI7" i="2"/>
  <c r="AI6" i="2"/>
  <c r="AE7" i="2"/>
  <c r="AG7" i="2"/>
  <c r="V7" i="2"/>
  <c r="AF7" i="2"/>
  <c r="O7" i="2"/>
  <c r="AD7" i="2"/>
  <c r="AF6" i="2"/>
  <c r="AH6" i="2"/>
  <c r="AH5" i="2"/>
  <c r="V6" i="2"/>
  <c r="AG6" i="2"/>
  <c r="AF5" i="2"/>
  <c r="AC6" i="2" l="1"/>
  <c r="AD6" i="2"/>
  <c r="O6" i="2"/>
  <c r="O5" i="2" l="1"/>
  <c r="V5" i="2"/>
  <c r="AI5" i="2"/>
  <c r="AD5" i="2"/>
  <c r="AD21" i="2" s="1"/>
  <c r="AC5" i="2"/>
  <c r="AE5" i="2"/>
  <c r="AG5" i="2"/>
  <c r="AF20" i="2"/>
  <c r="V20" i="2"/>
  <c r="AI20" i="2"/>
  <c r="AD20" i="2"/>
  <c r="AI18" i="2"/>
  <c r="AG20" i="2"/>
  <c r="AI19" i="2"/>
  <c r="V19" i="2"/>
  <c r="AD19" i="2"/>
  <c r="AF19" i="2"/>
  <c r="AG19" i="2"/>
  <c r="AE19" i="2"/>
  <c r="O18" i="2"/>
  <c r="V18" i="2"/>
  <c r="AF18" i="2"/>
  <c r="AD18" i="2"/>
  <c r="AG18" i="2"/>
  <c r="AE18" i="2"/>
  <c r="O17" i="2" l="1"/>
  <c r="V17" i="2"/>
  <c r="AI17" i="2"/>
  <c r="AF17" i="2"/>
  <c r="AI21" i="2"/>
  <c r="AG17" i="2"/>
  <c r="O16" i="2"/>
  <c r="V16" i="2"/>
  <c r="AD16" i="2"/>
  <c r="AF16" i="2"/>
  <c r="T16" i="2"/>
  <c r="T15" i="2" l="1"/>
  <c r="W15" i="2"/>
  <c r="AG15" i="2"/>
  <c r="AE15" i="2"/>
  <c r="AF14" i="2" l="1"/>
  <c r="AG14" i="2"/>
  <c r="AG13" i="2"/>
  <c r="AF13" i="2"/>
  <c r="AG12" i="2"/>
  <c r="AG21" i="2" s="1"/>
  <c r="W12" i="2"/>
  <c r="AE11" i="2"/>
  <c r="AE21" i="2"/>
  <c r="T11" i="2"/>
  <c r="AF11" i="2"/>
  <c r="AF9" i="2"/>
  <c r="AG9" i="2"/>
  <c r="T9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5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F8" i="2"/>
  <c r="P9" i="2"/>
  <c r="P10" i="2"/>
  <c r="P16" i="2"/>
  <c r="P17" i="2"/>
  <c r="AF21" i="2" l="1"/>
  <c r="AB21" i="2"/>
  <c r="AA21" i="2"/>
  <c r="Z21" i="2"/>
  <c r="X21" i="2"/>
  <c r="W21" i="2"/>
  <c r="R21" i="2"/>
  <c r="Q21" i="2"/>
  <c r="N21" i="2"/>
  <c r="M21" i="2"/>
  <c r="L21" i="2"/>
  <c r="K21" i="2"/>
  <c r="I21" i="2"/>
  <c r="H21" i="2"/>
  <c r="G21" i="2"/>
  <c r="F21" i="2"/>
  <c r="E21" i="2"/>
  <c r="D21" i="2"/>
  <c r="C21" i="2"/>
  <c r="Y20" i="2"/>
  <c r="AH20" i="2" s="1"/>
  <c r="P20" i="2"/>
  <c r="J20" i="2"/>
  <c r="Y19" i="2"/>
  <c r="AH19" i="2" s="1"/>
  <c r="P19" i="2"/>
  <c r="J19" i="2"/>
  <c r="Y18" i="2"/>
  <c r="P18" i="2"/>
  <c r="J18" i="2"/>
  <c r="Y17" i="2"/>
  <c r="AH17" i="2" s="1"/>
  <c r="J17" i="2"/>
  <c r="Y16" i="2"/>
  <c r="AH16" i="2" s="1"/>
  <c r="J16" i="2"/>
  <c r="Y15" i="2"/>
  <c r="P15" i="2"/>
  <c r="J15" i="2"/>
  <c r="Y14" i="2"/>
  <c r="P14" i="2"/>
  <c r="J14" i="2"/>
  <c r="Y13" i="2"/>
  <c r="P13" i="2"/>
  <c r="J13" i="2"/>
  <c r="Y12" i="2"/>
  <c r="P12" i="2"/>
  <c r="J12" i="2"/>
  <c r="Y11" i="2"/>
  <c r="P11" i="2"/>
  <c r="AH11" i="2" s="1"/>
  <c r="J11" i="2"/>
  <c r="Y10" i="2"/>
  <c r="AH10" i="2" s="1"/>
  <c r="J10" i="2"/>
  <c r="Y9" i="2"/>
  <c r="AH9" i="2" s="1"/>
  <c r="O21" i="2"/>
  <c r="J9" i="2"/>
  <c r="Y8" i="2"/>
  <c r="P8" i="2"/>
  <c r="J8" i="2"/>
  <c r="Y7" i="2"/>
  <c r="P7" i="2"/>
  <c r="J7" i="2"/>
  <c r="Y6" i="2"/>
  <c r="V21" i="2"/>
  <c r="S21" i="2"/>
  <c r="P6" i="2"/>
  <c r="J6" i="2"/>
  <c r="AC21" i="2"/>
  <c r="Y5" i="2"/>
  <c r="P5" i="2"/>
  <c r="J5" i="2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H14" i="2" l="1"/>
  <c r="AH13" i="2"/>
  <c r="AH12" i="2"/>
  <c r="AH8" i="2"/>
  <c r="AH7" i="2"/>
  <c r="AH18" i="2"/>
  <c r="J21" i="2"/>
  <c r="Q25" i="1"/>
  <c r="Y21" i="2"/>
  <c r="U21" i="2"/>
  <c r="P21" i="2"/>
  <c r="AH21" i="2" l="1"/>
</calcChain>
</file>

<file path=xl/sharedStrings.xml><?xml version="1.0" encoding="utf-8"?>
<sst xmlns="http://schemas.openxmlformats.org/spreadsheetml/2006/main" count="264" uniqueCount="69">
  <si>
    <t>รายงานสรุปการจัดสรรเงินโอนจาก สปสช.</t>
  </si>
  <si>
    <t>รหัสหน่วยบริการ</t>
  </si>
  <si>
    <t>หน่วยบริการ</t>
  </si>
  <si>
    <t>กองทุนเหมาจ่ายรายหัว</t>
  </si>
  <si>
    <t>นอกเหมาจ่าย</t>
  </si>
  <si>
    <t>รวม</t>
  </si>
  <si>
    <t>กองทุนผู้ป่วยนอก</t>
  </si>
  <si>
    <t>กองทุนผู้ป่วยใน</t>
  </si>
  <si>
    <t>กองทุนกรณีเฉพาะ</t>
  </si>
  <si>
    <t>กองทุนสร้างเสริมสุขภาพและป้องกันโรค</t>
  </si>
  <si>
    <t>บริการฟื้นฟูสมรรถภาพด้านการแพทย์</t>
  </si>
  <si>
    <t>บริการแพทย์แผนไทย</t>
  </si>
  <si>
    <t>ค่าบริการทางการแพทย์ที่เบิกจ่ายในลักษณะงบลงทุน</t>
  </si>
  <si>
    <t>เงินช่วยเหลือเบื้องต้นผู้ให้และผู้รับบริการ</t>
  </si>
  <si>
    <t>บริการผู้ติดเชื้อ HIV และผู้ป่วยเอดส์</t>
  </si>
  <si>
    <t>บริการผู้ป่วยไตวายเรื้อรัง</t>
  </si>
  <si>
    <t>บริการควบคุมป้องกันและรักษาโรคเรื้อรัง</t>
  </si>
  <si>
    <t>ค่าใช้จ่ายเพิ่มเติมสำหรับหน่วยบริการในพื้นที่กันดาร พื้นที่เสี่ยงภัยและพื้นที่ 3 จังหวัดชายแดนภาคใต้</t>
  </si>
  <si>
    <t>ค่าบริการสาธารณสุขสำหรับผู้สูงอายุที่มีภาวะพึ่งพิง</t>
  </si>
  <si>
    <t>รพศ.อยุธยา</t>
  </si>
  <si>
    <t>รพ.เสนา</t>
  </si>
  <si>
    <t>รพ.ท่าเรือ</t>
  </si>
  <si>
    <t>รพ.สมเด็จฯ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</si>
  <si>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</si>
  <si>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</si>
  <si>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</si>
  <si>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</si>
  <si>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</si>
  <si>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</si>
  <si>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</si>
  <si>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</si>
  <si>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รพ.บางซ้าย</t>
  </si>
  <si>
    <t>รพ.อุทัย</t>
  </si>
  <si>
    <t>รพ.มหาราช</t>
  </si>
  <si>
    <t>บ้านแพรก</t>
  </si>
  <si>
    <t>รวมทั้งสิ้น</t>
  </si>
  <si>
    <t>รายงานสรุปผลการโอนเงินจากสำนักงานหลักประกันสุขภาพแห่งชาติ</t>
  </si>
  <si>
    <t>กองทุนผู้ป่วยใน   ปี 59</t>
  </si>
  <si>
    <t>บริการกรณีเฉพาะ</t>
  </si>
  <si>
    <t>OP_CF</t>
  </si>
  <si>
    <t>IP_CF</t>
  </si>
  <si>
    <t>กองทุนเอดส์</t>
  </si>
  <si>
    <t>กองทุนไตวายรื้อรัง ปี 59</t>
  </si>
  <si>
    <t>เงินจ่ายจากรายการรายได้สูง(ต่ำ)กว่าค่าใช้จ่ายสะสม (ตามมติบอร์ด)</t>
  </si>
  <si>
    <t>เหมาจ่ายต่อผู้มีสิทธิ</t>
  </si>
  <si>
    <t>พลการ 59</t>
  </si>
  <si>
    <t>ปิดผลงาน 59</t>
  </si>
  <si>
    <t>QOF งวด 2</t>
  </si>
  <si>
    <t>OPPP INDIV59</t>
  </si>
  <si>
    <t>OP REFER59</t>
  </si>
  <si>
    <t>จัดสรรครบขั้นต่ำ</t>
  </si>
  <si>
    <t>IP คงเหลือ 59</t>
  </si>
  <si>
    <t>IP งวดล่าช้า</t>
  </si>
  <si>
    <t>IP พิเศษ</t>
  </si>
  <si>
    <t>กองทุนผู้ป่วยใน CAP</t>
  </si>
  <si>
    <t>สป.สธ.งวดที่ 1/60</t>
  </si>
  <si>
    <t>PPA 59 งวด 2</t>
  </si>
  <si>
    <t>PP ที่บริหารระดับประเทศ</t>
  </si>
  <si>
    <t>กองทุน Central Reimburse</t>
  </si>
  <si>
    <t>TB59-Q04</t>
  </si>
  <si>
    <t>PALLIATIVE-59Y</t>
  </si>
  <si>
    <t>งบลงทุน</t>
  </si>
  <si>
    <t>อปท.</t>
  </si>
  <si>
    <t>ธารัสซีเมีย</t>
  </si>
  <si>
    <t>งบ LTC หน่วยบริการ</t>
  </si>
  <si>
    <t>OPREFER    (ค่ารักษาตามจ่าย)</t>
  </si>
  <si>
    <t>Happy New Year 2017  For..KOB</t>
  </si>
  <si>
    <t>ประจำเดือนธันวาคม 2559</t>
  </si>
  <si>
    <t>อปท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</si>
</sst>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26"/>
      <color theme="1"/>
      <name val="Angsana New"/>
      <family val="1"/>
    </font>
    <font>
      <sz val="18"/>
      <color theme="1"/>
      <name val="Angsana New"/>
      <family val="1"/>
    </font>
    <font>
      <sz val="28"/>
      <color theme="1"/>
      <name val="Angsana New"/>
      <family val="1"/>
    </font>
    <font>
      <sz val="18"/>
      <color theme="1"/>
      <name val="Bradley Hand ITC"/>
      <family val="4"/>
    </font>
    <font>
      <b/>
      <sz val="18"/>
      <color theme="1"/>
      <name val="Bradley Hand ITC"/>
      <family val="4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Alignment="1">
      <alignment horizontal="left"/>
    </xf>
    <xf numFmtId="0" fontId="3" fillId="0" borderId="5" xfId="0" applyFont="1" applyBorder="1"/>
    <xf numFmtId="43" fontId="3" fillId="0" borderId="5" xfId="1" applyFont="1" applyBorder="1"/>
    <xf numFmtId="43" fontId="3" fillId="0" borderId="5" xfId="0" applyNumberFormat="1" applyFont="1" applyBorder="1"/>
    <xf numFmtId="43" fontId="3" fillId="0" borderId="6" xfId="1" applyFont="1" applyBorder="1"/>
    <xf numFmtId="43" fontId="3" fillId="0" borderId="7" xfId="1" applyFont="1" applyBorder="1"/>
    <xf numFmtId="43" fontId="3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3" fontId="3" fillId="0" borderId="0" xfId="1" applyFont="1" applyBorder="1"/>
    <xf numFmtId="43" fontId="3" fillId="8" borderId="1" xfId="1" applyFont="1" applyFill="1" applyBorder="1"/>
    <xf numFmtId="43" fontId="3" fillId="8" borderId="1" xfId="1" applyFont="1" applyFill="1" applyBorder="1" applyAlignment="1">
      <alignment vertical="center" wrapText="1"/>
    </xf>
    <xf numFmtId="43" fontId="3" fillId="8" borderId="5" xfId="1" applyFont="1" applyFill="1" applyBorder="1"/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vertical="center"/>
    </xf>
    <xf numFmtId="43" fontId="3" fillId="6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4" borderId="2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43" fontId="3" fillId="5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3" fontId="3" fillId="7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43" fontId="3" fillId="8" borderId="2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43" fontId="3" fillId="0" borderId="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>
      <selection activeCell="P25" sqref="P25"/>
    </sheetView>
  </sheetViews>
  <sheetFormatPr defaultRowHeight="26.25" x14ac:dyDescent="0.55000000000000004"/>
  <cols>
    <col min="1" max="1" width="7.375" style="7" customWidth="1"/>
    <col min="2" max="2" width="14.375" style="1" customWidth="1"/>
    <col min="3" max="4" width="15.875" style="13" customWidth="1"/>
    <col min="5" max="5" width="15.875" style="1" customWidth="1"/>
    <col min="6" max="17" width="15.875" style="13" customWidth="1"/>
    <col min="18" max="16384" width="9" style="1"/>
  </cols>
  <sheetData>
    <row r="1" spans="1:17" ht="37.5" x14ac:dyDescent="0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37.5" x14ac:dyDescent="0.75">
      <c r="A2" s="35" t="s">
        <v>67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3" customFormat="1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55000000000000004">
      <c r="A4" s="36" t="s">
        <v>1</v>
      </c>
      <c r="B4" s="37" t="s">
        <v>2</v>
      </c>
      <c r="C4" s="38" t="s">
        <v>3</v>
      </c>
      <c r="D4" s="38"/>
      <c r="E4" s="38"/>
      <c r="F4" s="38"/>
      <c r="G4" s="38"/>
      <c r="H4" s="38"/>
      <c r="I4" s="38"/>
      <c r="J4" s="38"/>
      <c r="K4" s="39" t="s">
        <v>4</v>
      </c>
      <c r="L4" s="39"/>
      <c r="M4" s="39"/>
      <c r="N4" s="39"/>
      <c r="O4" s="39"/>
      <c r="P4" s="40" t="s">
        <v>68</v>
      </c>
      <c r="Q4" s="43" t="s">
        <v>5</v>
      </c>
    </row>
    <row r="5" spans="1:17" ht="26.25" customHeight="1" x14ac:dyDescent="0.55000000000000004">
      <c r="A5" s="36"/>
      <c r="B5" s="37"/>
      <c r="C5" s="33" t="s">
        <v>6</v>
      </c>
      <c r="D5" s="33" t="s">
        <v>7</v>
      </c>
      <c r="E5" s="44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45" t="s">
        <v>14</v>
      </c>
      <c r="L5" s="45" t="s">
        <v>15</v>
      </c>
      <c r="M5" s="45" t="s">
        <v>16</v>
      </c>
      <c r="N5" s="45" t="s">
        <v>17</v>
      </c>
      <c r="O5" s="45" t="s">
        <v>18</v>
      </c>
      <c r="P5" s="41"/>
      <c r="Q5" s="43"/>
    </row>
    <row r="6" spans="1:17" x14ac:dyDescent="0.55000000000000004">
      <c r="A6" s="36"/>
      <c r="B6" s="37"/>
      <c r="C6" s="33"/>
      <c r="D6" s="33"/>
      <c r="E6" s="44"/>
      <c r="F6" s="33"/>
      <c r="G6" s="33"/>
      <c r="H6" s="33"/>
      <c r="I6" s="33"/>
      <c r="J6" s="33"/>
      <c r="K6" s="45"/>
      <c r="L6" s="45"/>
      <c r="M6" s="45"/>
      <c r="N6" s="45"/>
      <c r="O6" s="45"/>
      <c r="P6" s="41"/>
      <c r="Q6" s="43"/>
    </row>
    <row r="7" spans="1:17" ht="26.25" customHeight="1" x14ac:dyDescent="0.55000000000000004">
      <c r="A7" s="36"/>
      <c r="B7" s="37"/>
      <c r="C7" s="33"/>
      <c r="D7" s="33"/>
      <c r="E7" s="44"/>
      <c r="F7" s="33"/>
      <c r="G7" s="33"/>
      <c r="H7" s="33"/>
      <c r="I7" s="33"/>
      <c r="J7" s="33"/>
      <c r="K7" s="45"/>
      <c r="L7" s="45"/>
      <c r="M7" s="45"/>
      <c r="N7" s="45"/>
      <c r="O7" s="45"/>
      <c r="P7" s="41"/>
      <c r="Q7" s="43"/>
    </row>
    <row r="8" spans="1:17" x14ac:dyDescent="0.55000000000000004">
      <c r="A8" s="36"/>
      <c r="B8" s="37"/>
      <c r="C8" s="33"/>
      <c r="D8" s="33"/>
      <c r="E8" s="44"/>
      <c r="F8" s="33"/>
      <c r="G8" s="33"/>
      <c r="H8" s="33"/>
      <c r="I8" s="33"/>
      <c r="J8" s="33"/>
      <c r="K8" s="45"/>
      <c r="L8" s="45"/>
      <c r="M8" s="45"/>
      <c r="N8" s="45"/>
      <c r="O8" s="45"/>
      <c r="P8" s="42"/>
      <c r="Q8" s="43"/>
    </row>
    <row r="9" spans="1:17" x14ac:dyDescent="0.55000000000000004">
      <c r="A9" s="4">
        <v>10660</v>
      </c>
      <c r="B9" s="5" t="s">
        <v>19</v>
      </c>
      <c r="C9" s="6"/>
      <c r="D9" s="6">
        <v>9762104.1799999997</v>
      </c>
      <c r="E9" s="6">
        <v>16607328.08</v>
      </c>
      <c r="F9" s="6"/>
      <c r="G9" s="6"/>
      <c r="H9" s="6"/>
      <c r="I9" s="6">
        <v>19678276.579999998</v>
      </c>
      <c r="J9" s="6">
        <v>4753202.03</v>
      </c>
      <c r="K9" s="6"/>
      <c r="L9" s="6">
        <v>1275400</v>
      </c>
      <c r="M9" s="6"/>
      <c r="N9" s="6"/>
      <c r="O9" s="6">
        <v>100000</v>
      </c>
      <c r="P9" s="6">
        <v>6467295.1799999997</v>
      </c>
      <c r="Q9" s="6">
        <f>SUM(C9:P9)</f>
        <v>58643606.049999997</v>
      </c>
    </row>
    <row r="10" spans="1:17" x14ac:dyDescent="0.55000000000000004">
      <c r="A10" s="4">
        <v>10688</v>
      </c>
      <c r="B10" s="5" t="s">
        <v>20</v>
      </c>
      <c r="C10" s="6"/>
      <c r="D10" s="6">
        <v>1118036.3</v>
      </c>
      <c r="E10" s="6">
        <v>3753589.2</v>
      </c>
      <c r="F10" s="6"/>
      <c r="G10" s="6"/>
      <c r="H10" s="6"/>
      <c r="I10" s="6">
        <v>7194088.5300000003</v>
      </c>
      <c r="J10" s="6"/>
      <c r="K10" s="6"/>
      <c r="L10" s="6">
        <v>250000</v>
      </c>
      <c r="M10" s="6"/>
      <c r="N10" s="6"/>
      <c r="O10" s="6">
        <v>100000</v>
      </c>
      <c r="P10" s="6">
        <v>1761125.4</v>
      </c>
      <c r="Q10" s="6">
        <f>SUM(C10:P10)</f>
        <v>14176839.430000002</v>
      </c>
    </row>
    <row r="11" spans="1:17" x14ac:dyDescent="0.55000000000000004">
      <c r="A11" s="4">
        <v>10768</v>
      </c>
      <c r="B11" s="5" t="s">
        <v>21</v>
      </c>
      <c r="C11" s="6"/>
      <c r="D11" s="6">
        <v>221299.59</v>
      </c>
      <c r="E11" s="6">
        <v>221692.11</v>
      </c>
      <c r="F11" s="6"/>
      <c r="G11" s="6"/>
      <c r="H11" s="6"/>
      <c r="I11" s="6">
        <v>2538534.84</v>
      </c>
      <c r="J11" s="6">
        <v>29535.9</v>
      </c>
      <c r="K11" s="6"/>
      <c r="L11" s="6"/>
      <c r="M11" s="6"/>
      <c r="N11" s="6"/>
      <c r="O11" s="6">
        <v>100000</v>
      </c>
      <c r="P11" s="6">
        <v>439541.54</v>
      </c>
      <c r="Q11" s="6">
        <f>SUM(C11:P11)</f>
        <v>3550603.98</v>
      </c>
    </row>
    <row r="12" spans="1:17" x14ac:dyDescent="0.55000000000000004">
      <c r="A12" s="4">
        <v>10769</v>
      </c>
      <c r="B12" s="5" t="s">
        <v>22</v>
      </c>
      <c r="C12" s="6"/>
      <c r="D12" s="6">
        <v>921505.16</v>
      </c>
      <c r="E12" s="6">
        <v>89358.82</v>
      </c>
      <c r="F12" s="6"/>
      <c r="G12" s="6"/>
      <c r="H12" s="6"/>
      <c r="I12" s="6">
        <v>2215112.2000000002</v>
      </c>
      <c r="J12" s="6">
        <v>76516.070000000007</v>
      </c>
      <c r="K12" s="6"/>
      <c r="L12" s="6"/>
      <c r="M12" s="6"/>
      <c r="N12" s="6"/>
      <c r="O12" s="6">
        <v>100000</v>
      </c>
      <c r="P12" s="6">
        <v>148711.15</v>
      </c>
      <c r="Q12" s="6">
        <f>SUM(C12:P12)</f>
        <v>3551203.4</v>
      </c>
    </row>
    <row r="13" spans="1:17" x14ac:dyDescent="0.55000000000000004">
      <c r="A13" s="4">
        <v>10770</v>
      </c>
      <c r="B13" s="5" t="s">
        <v>23</v>
      </c>
      <c r="C13" s="6"/>
      <c r="D13" s="6">
        <v>568584.81000000006</v>
      </c>
      <c r="E13" s="6">
        <v>152535.9</v>
      </c>
      <c r="F13" s="6">
        <v>3780</v>
      </c>
      <c r="G13" s="6"/>
      <c r="H13" s="6"/>
      <c r="I13" s="6">
        <v>1691439.91</v>
      </c>
      <c r="J13" s="6"/>
      <c r="K13" s="6"/>
      <c r="L13" s="6"/>
      <c r="M13" s="6"/>
      <c r="N13" s="6"/>
      <c r="O13" s="6">
        <v>100000</v>
      </c>
      <c r="P13" s="6">
        <v>109204.17</v>
      </c>
      <c r="Q13" s="6">
        <f>SUM(C13:P13)</f>
        <v>2625544.79</v>
      </c>
    </row>
    <row r="14" spans="1:17" x14ac:dyDescent="0.55000000000000004">
      <c r="A14" s="4">
        <v>10771</v>
      </c>
      <c r="B14" s="5" t="s">
        <v>24</v>
      </c>
      <c r="C14" s="6"/>
      <c r="D14" s="6">
        <v>48458.12</v>
      </c>
      <c r="E14" s="6">
        <v>91648.7</v>
      </c>
      <c r="F14" s="6"/>
      <c r="G14" s="6"/>
      <c r="H14" s="6"/>
      <c r="I14" s="6">
        <v>1454983.26</v>
      </c>
      <c r="J14" s="6"/>
      <c r="K14" s="6"/>
      <c r="L14" s="6"/>
      <c r="M14" s="6"/>
      <c r="N14" s="6"/>
      <c r="O14" s="6">
        <v>100000</v>
      </c>
      <c r="P14" s="6">
        <v>135047.4</v>
      </c>
      <c r="Q14" s="6">
        <f>SUM(C14:P14)</f>
        <v>1830137.48</v>
      </c>
    </row>
    <row r="15" spans="1:17" x14ac:dyDescent="0.55000000000000004">
      <c r="A15" s="4">
        <v>10772</v>
      </c>
      <c r="B15" s="5" t="s">
        <v>25</v>
      </c>
      <c r="C15" s="6"/>
      <c r="D15" s="6">
        <v>798096.33</v>
      </c>
      <c r="E15" s="6">
        <v>324676.3</v>
      </c>
      <c r="F15" s="6">
        <v>11880</v>
      </c>
      <c r="G15" s="6"/>
      <c r="H15" s="6"/>
      <c r="I15" s="6">
        <v>4429032.54</v>
      </c>
      <c r="J15" s="6">
        <v>58395.6</v>
      </c>
      <c r="K15" s="6"/>
      <c r="L15" s="6"/>
      <c r="M15" s="6"/>
      <c r="N15" s="6"/>
      <c r="O15" s="6">
        <v>100000</v>
      </c>
      <c r="P15" s="6">
        <v>116379.8</v>
      </c>
      <c r="Q15" s="6">
        <f>SUM(C15:P15)</f>
        <v>5838460.5699999994</v>
      </c>
    </row>
    <row r="16" spans="1:17" x14ac:dyDescent="0.55000000000000004">
      <c r="A16" s="4">
        <v>10773</v>
      </c>
      <c r="B16" s="5" t="s">
        <v>26</v>
      </c>
      <c r="C16" s="6"/>
      <c r="D16" s="6">
        <v>439590.16</v>
      </c>
      <c r="E16" s="6">
        <v>130831.02</v>
      </c>
      <c r="F16" s="6"/>
      <c r="G16" s="6"/>
      <c r="H16" s="6"/>
      <c r="I16" s="6">
        <v>1946872.22</v>
      </c>
      <c r="J16" s="6"/>
      <c r="K16" s="6"/>
      <c r="L16" s="6"/>
      <c r="M16" s="6"/>
      <c r="N16" s="6"/>
      <c r="O16" s="6">
        <v>100000</v>
      </c>
      <c r="P16" s="6">
        <v>165957.93</v>
      </c>
      <c r="Q16" s="6">
        <f>SUM(C16:P16)</f>
        <v>2783251.33</v>
      </c>
    </row>
    <row r="17" spans="1:17" x14ac:dyDescent="0.55000000000000004">
      <c r="A17" s="4">
        <v>10774</v>
      </c>
      <c r="B17" s="5" t="s">
        <v>27</v>
      </c>
      <c r="C17" s="6"/>
      <c r="D17" s="6">
        <v>400158.82</v>
      </c>
      <c r="E17" s="6">
        <v>308490.03000000003</v>
      </c>
      <c r="F17" s="6"/>
      <c r="G17" s="6"/>
      <c r="H17" s="6"/>
      <c r="I17" s="6">
        <v>2263576.2200000002</v>
      </c>
      <c r="J17" s="6"/>
      <c r="K17" s="6"/>
      <c r="L17" s="6"/>
      <c r="M17" s="6"/>
      <c r="N17" s="6"/>
      <c r="O17" s="6">
        <v>100000</v>
      </c>
      <c r="P17" s="6">
        <v>257784.2</v>
      </c>
      <c r="Q17" s="6">
        <f>SUM(C17:P17)</f>
        <v>3330009.2700000005</v>
      </c>
    </row>
    <row r="18" spans="1:17" x14ac:dyDescent="0.55000000000000004">
      <c r="A18" s="4">
        <v>10775</v>
      </c>
      <c r="B18" s="5" t="s">
        <v>28</v>
      </c>
      <c r="C18" s="6"/>
      <c r="D18" s="6">
        <v>435119.08</v>
      </c>
      <c r="E18" s="6">
        <v>322733.40000000002</v>
      </c>
      <c r="F18" s="6"/>
      <c r="G18" s="6"/>
      <c r="H18" s="6"/>
      <c r="I18" s="6">
        <v>1940705.72</v>
      </c>
      <c r="J18" s="6"/>
      <c r="K18" s="6"/>
      <c r="L18" s="6"/>
      <c r="M18" s="6"/>
      <c r="N18" s="6"/>
      <c r="O18" s="6">
        <v>100000</v>
      </c>
      <c r="P18" s="6">
        <v>235192.22</v>
      </c>
      <c r="Q18" s="6">
        <f>SUM(C18:P18)</f>
        <v>3033750.4200000004</v>
      </c>
    </row>
    <row r="19" spans="1:17" x14ac:dyDescent="0.55000000000000004">
      <c r="A19" s="4">
        <v>10776</v>
      </c>
      <c r="B19" s="5" t="s">
        <v>29</v>
      </c>
      <c r="C19" s="6"/>
      <c r="D19" s="6">
        <v>273543.15000000002</v>
      </c>
      <c r="E19" s="6">
        <v>355767.53</v>
      </c>
      <c r="F19" s="6">
        <v>3510</v>
      </c>
      <c r="G19" s="6"/>
      <c r="H19" s="6"/>
      <c r="I19" s="6">
        <v>1986398.37</v>
      </c>
      <c r="J19" s="6">
        <v>3905</v>
      </c>
      <c r="K19" s="6"/>
      <c r="L19" s="6"/>
      <c r="M19" s="6"/>
      <c r="N19" s="6"/>
      <c r="O19" s="6">
        <v>100000</v>
      </c>
      <c r="P19" s="6">
        <v>178047.51</v>
      </c>
      <c r="Q19" s="6">
        <f>SUM(C19:P19)</f>
        <v>2901171.5600000005</v>
      </c>
    </row>
    <row r="20" spans="1:17" x14ac:dyDescent="0.55000000000000004">
      <c r="A20" s="4">
        <v>10777</v>
      </c>
      <c r="B20" s="5" t="s">
        <v>30</v>
      </c>
      <c r="C20" s="6"/>
      <c r="D20" s="6">
        <v>1094024.98</v>
      </c>
      <c r="E20" s="6">
        <v>439090.75</v>
      </c>
      <c r="F20" s="6">
        <v>4860</v>
      </c>
      <c r="G20" s="6"/>
      <c r="H20" s="6"/>
      <c r="I20" s="6">
        <v>3430661.56</v>
      </c>
      <c r="J20" s="6"/>
      <c r="K20" s="6"/>
      <c r="L20" s="6"/>
      <c r="M20" s="6"/>
      <c r="N20" s="6"/>
      <c r="O20" s="6">
        <v>100000</v>
      </c>
      <c r="P20" s="6">
        <v>33079.57</v>
      </c>
      <c r="Q20" s="6">
        <f>SUM(C20:P20)</f>
        <v>5101716.8600000003</v>
      </c>
    </row>
    <row r="21" spans="1:17" x14ac:dyDescent="0.55000000000000004">
      <c r="A21" s="4">
        <v>10778</v>
      </c>
      <c r="B21" s="5" t="s">
        <v>31</v>
      </c>
      <c r="C21" s="6"/>
      <c r="D21" s="6">
        <v>99202.98</v>
      </c>
      <c r="E21" s="6">
        <v>106977.2</v>
      </c>
      <c r="F21" s="6"/>
      <c r="G21" s="6"/>
      <c r="H21" s="6"/>
      <c r="I21" s="6">
        <v>932897.91</v>
      </c>
      <c r="J21" s="6"/>
      <c r="K21" s="6"/>
      <c r="L21" s="6"/>
      <c r="M21" s="6"/>
      <c r="N21" s="6"/>
      <c r="O21" s="6">
        <v>100000</v>
      </c>
      <c r="P21" s="6">
        <v>91448.23</v>
      </c>
      <c r="Q21" s="6">
        <f>SUM(C21:P21)</f>
        <v>1330526.32</v>
      </c>
    </row>
    <row r="22" spans="1:17" x14ac:dyDescent="0.55000000000000004">
      <c r="A22" s="4">
        <v>10779</v>
      </c>
      <c r="B22" s="5" t="s">
        <v>32</v>
      </c>
      <c r="C22" s="6"/>
      <c r="D22" s="6">
        <v>761550.98</v>
      </c>
      <c r="E22" s="6">
        <v>303792.34999999998</v>
      </c>
      <c r="F22" s="6"/>
      <c r="G22" s="6"/>
      <c r="H22" s="6"/>
      <c r="I22" s="6">
        <v>2473746.9900000002</v>
      </c>
      <c r="J22" s="6">
        <v>28665.31</v>
      </c>
      <c r="K22" s="6"/>
      <c r="L22" s="6"/>
      <c r="M22" s="6"/>
      <c r="N22" s="6"/>
      <c r="O22" s="6">
        <v>100000</v>
      </c>
      <c r="P22" s="6">
        <v>375852.1</v>
      </c>
      <c r="Q22" s="6">
        <f>SUM(C22:P22)</f>
        <v>4043607.7300000004</v>
      </c>
    </row>
    <row r="23" spans="1:17" x14ac:dyDescent="0.55000000000000004">
      <c r="A23" s="4">
        <v>10780</v>
      </c>
      <c r="B23" s="5" t="s">
        <v>33</v>
      </c>
      <c r="C23" s="6"/>
      <c r="D23" s="6">
        <v>0</v>
      </c>
      <c r="E23" s="6">
        <v>128419.98</v>
      </c>
      <c r="F23" s="6"/>
      <c r="G23" s="6"/>
      <c r="H23" s="6"/>
      <c r="I23" s="6">
        <v>1199398.1000000001</v>
      </c>
      <c r="J23" s="6">
        <v>6455.7</v>
      </c>
      <c r="K23" s="6"/>
      <c r="L23" s="6"/>
      <c r="M23" s="6"/>
      <c r="N23" s="6"/>
      <c r="O23" s="6">
        <v>100000</v>
      </c>
      <c r="P23" s="6">
        <v>168653.45</v>
      </c>
      <c r="Q23" s="6">
        <f>SUM(C23:P23)</f>
        <v>1602927.23</v>
      </c>
    </row>
    <row r="24" spans="1:17" x14ac:dyDescent="0.55000000000000004">
      <c r="A24" s="4">
        <v>10781</v>
      </c>
      <c r="B24" s="5" t="s">
        <v>34</v>
      </c>
      <c r="C24" s="6"/>
      <c r="D24" s="6">
        <v>0</v>
      </c>
      <c r="E24" s="6">
        <v>185898.4</v>
      </c>
      <c r="F24" s="6"/>
      <c r="G24" s="6"/>
      <c r="H24" s="6"/>
      <c r="I24" s="6">
        <v>579558.96</v>
      </c>
      <c r="J24" s="6"/>
      <c r="K24" s="6"/>
      <c r="L24" s="6"/>
      <c r="M24" s="6"/>
      <c r="N24" s="6"/>
      <c r="O24" s="6">
        <v>100000</v>
      </c>
      <c r="P24" s="6">
        <v>182268.76</v>
      </c>
      <c r="Q24" s="6">
        <f>SUM(C24:P24)</f>
        <v>1047726.12</v>
      </c>
    </row>
    <row r="25" spans="1:17" ht="27" thickBot="1" x14ac:dyDescent="0.6">
      <c r="B25" s="8" t="s">
        <v>35</v>
      </c>
      <c r="C25" s="9">
        <f>SUM(C9:C24)</f>
        <v>0</v>
      </c>
      <c r="D25" s="9">
        <f>SUM(D9:D24)</f>
        <v>16941274.640000001</v>
      </c>
      <c r="E25" s="10">
        <f>SUM(E9:E24)</f>
        <v>23522829.77</v>
      </c>
      <c r="F25" s="9">
        <f>SUM(F9:F24)</f>
        <v>24030</v>
      </c>
      <c r="G25" s="9">
        <f t="shared" ref="G25:Q25" si="0">SUM(G9:G24)</f>
        <v>0</v>
      </c>
      <c r="H25" s="9">
        <f t="shared" si="0"/>
        <v>0</v>
      </c>
      <c r="I25" s="9">
        <f t="shared" si="0"/>
        <v>55955283.909999996</v>
      </c>
      <c r="J25" s="9">
        <f t="shared" si="0"/>
        <v>4956675.6100000003</v>
      </c>
      <c r="K25" s="11">
        <f t="shared" si="0"/>
        <v>0</v>
      </c>
      <c r="L25" s="9">
        <f t="shared" si="0"/>
        <v>1525400</v>
      </c>
      <c r="M25" s="12">
        <f t="shared" si="0"/>
        <v>0</v>
      </c>
      <c r="N25" s="9">
        <f t="shared" si="0"/>
        <v>0</v>
      </c>
      <c r="O25" s="9">
        <f t="shared" si="0"/>
        <v>1600000</v>
      </c>
      <c r="P25" s="9">
        <f t="shared" si="0"/>
        <v>10865588.609999999</v>
      </c>
      <c r="Q25" s="9">
        <f t="shared" si="0"/>
        <v>115391082.54000002</v>
      </c>
    </row>
    <row r="26" spans="1:17" ht="27" thickTop="1" x14ac:dyDescent="0.55000000000000004"/>
    <row r="39" spans="1:17" x14ac:dyDescent="0.55000000000000004">
      <c r="A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55000000000000004">
      <c r="A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21">
    <mergeCell ref="J5:J8"/>
    <mergeCell ref="K5:K8"/>
    <mergeCell ref="L5:L8"/>
    <mergeCell ref="M5:M8"/>
    <mergeCell ref="N5:N8"/>
    <mergeCell ref="O5:O8"/>
    <mergeCell ref="I5:I8"/>
    <mergeCell ref="A1:Q1"/>
    <mergeCell ref="A2:Q2"/>
    <mergeCell ref="A4:A8"/>
    <mergeCell ref="B4:B8"/>
    <mergeCell ref="C4:J4"/>
    <mergeCell ref="K4:O4"/>
    <mergeCell ref="P4:P8"/>
    <mergeCell ref="Q4:Q8"/>
    <mergeCell ref="C5:C8"/>
    <mergeCell ref="D5:D8"/>
    <mergeCell ref="E5:E8"/>
    <mergeCell ref="F5:F8"/>
    <mergeCell ref="G5:G8"/>
    <mergeCell ref="H5:H8"/>
  </mergeCells>
  <pageMargins left="0.31496062992125984" right="0.11811023622047245" top="0.74803149606299213" bottom="0.74803149606299213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pane xSplit="1" topLeftCell="O1" activePane="topRight" state="frozen"/>
      <selection pane="topRight" activeCell="A3" sqref="A3:A4"/>
    </sheetView>
  </sheetViews>
  <sheetFormatPr defaultRowHeight="26.25" x14ac:dyDescent="0.55000000000000004"/>
  <cols>
    <col min="1" max="1" width="7.375" style="7" customWidth="1"/>
    <col min="2" max="2" width="16.125" style="1" customWidth="1"/>
    <col min="3" max="3" width="16.125" style="13" hidden="1" customWidth="1"/>
    <col min="4" max="4" width="9.25" style="13" hidden="1" customWidth="1"/>
    <col min="5" max="5" width="11.25" style="13" hidden="1" customWidth="1"/>
    <col min="6" max="6" width="12.5" style="13" hidden="1" customWidth="1"/>
    <col min="7" max="7" width="14.25" style="13" hidden="1" customWidth="1"/>
    <col min="8" max="8" width="14.75" style="13" hidden="1" customWidth="1"/>
    <col min="9" max="9" width="14.25" style="13" hidden="1" customWidth="1"/>
    <col min="10" max="10" width="16.125" style="13" hidden="1" customWidth="1"/>
    <col min="11" max="14" width="18.125" style="13" hidden="1" customWidth="1"/>
    <col min="15" max="16" width="18.125" style="13" customWidth="1"/>
    <col min="17" max="19" width="17.625" style="13" hidden="1" customWidth="1"/>
    <col min="20" max="21" width="17.625" style="13" customWidth="1"/>
    <col min="22" max="22" width="15.125" style="13" customWidth="1"/>
    <col min="23" max="23" width="13.625" style="13" customWidth="1"/>
    <col min="24" max="24" width="17.375" style="13" hidden="1" customWidth="1"/>
    <col min="25" max="25" width="19.125" style="13" customWidth="1"/>
    <col min="26" max="26" width="13.625" style="13" hidden="1" customWidth="1"/>
    <col min="27" max="27" width="13.875" style="13" hidden="1" customWidth="1"/>
    <col min="28" max="28" width="12.375" style="13" hidden="1" customWidth="1"/>
    <col min="29" max="33" width="15" style="13" customWidth="1"/>
    <col min="34" max="34" width="16.5" style="13" customWidth="1"/>
    <col min="35" max="35" width="15.25" style="13" customWidth="1"/>
    <col min="36" max="36" width="12.625" style="1" bestFit="1" customWidth="1"/>
    <col min="37" max="16384" width="9" style="1"/>
  </cols>
  <sheetData>
    <row r="1" spans="1:36" s="14" customFormat="1" ht="39.75" x14ac:dyDescent="0.8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6" s="14" customFormat="1" ht="39.75" x14ac:dyDescent="0.8">
      <c r="A2" s="52" t="s">
        <v>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6" s="15" customFormat="1" x14ac:dyDescent="0.55000000000000004">
      <c r="A3" s="36" t="s">
        <v>1</v>
      </c>
      <c r="B3" s="37" t="s">
        <v>2</v>
      </c>
      <c r="C3" s="46" t="s">
        <v>6</v>
      </c>
      <c r="D3" s="46"/>
      <c r="E3" s="46"/>
      <c r="F3" s="46"/>
      <c r="G3" s="46"/>
      <c r="H3" s="46"/>
      <c r="I3" s="46"/>
      <c r="J3" s="46"/>
      <c r="K3" s="53" t="s">
        <v>37</v>
      </c>
      <c r="L3" s="53"/>
      <c r="M3" s="53"/>
      <c r="N3" s="53"/>
      <c r="O3" s="53"/>
      <c r="P3" s="53"/>
      <c r="Q3" s="46" t="s">
        <v>9</v>
      </c>
      <c r="R3" s="46"/>
      <c r="S3" s="46"/>
      <c r="T3" s="46"/>
      <c r="U3" s="46"/>
      <c r="V3" s="53" t="s">
        <v>38</v>
      </c>
      <c r="W3" s="53"/>
      <c r="X3" s="53"/>
      <c r="Y3" s="53"/>
      <c r="Z3" s="46" t="s">
        <v>39</v>
      </c>
      <c r="AA3" s="46" t="s">
        <v>40</v>
      </c>
      <c r="AB3" s="46" t="s">
        <v>41</v>
      </c>
      <c r="AC3" s="53" t="s">
        <v>42</v>
      </c>
      <c r="AD3" s="49" t="s">
        <v>64</v>
      </c>
      <c r="AE3" s="49" t="s">
        <v>43</v>
      </c>
      <c r="AF3" s="49" t="s">
        <v>62</v>
      </c>
      <c r="AG3" s="49" t="s">
        <v>61</v>
      </c>
      <c r="AH3" s="46" t="s">
        <v>5</v>
      </c>
      <c r="AI3" s="47" t="s">
        <v>65</v>
      </c>
    </row>
    <row r="4" spans="1:36" s="15" customFormat="1" ht="52.5" x14ac:dyDescent="0.55000000000000004">
      <c r="A4" s="36"/>
      <c r="B4" s="37"/>
      <c r="C4" s="16" t="s">
        <v>44</v>
      </c>
      <c r="D4" s="16" t="s">
        <v>45</v>
      </c>
      <c r="E4" s="16" t="s">
        <v>46</v>
      </c>
      <c r="F4" s="16" t="s">
        <v>47</v>
      </c>
      <c r="G4" s="16" t="s">
        <v>48</v>
      </c>
      <c r="H4" s="16" t="s">
        <v>49</v>
      </c>
      <c r="I4" s="16" t="s">
        <v>50</v>
      </c>
      <c r="J4" s="16" t="s">
        <v>5</v>
      </c>
      <c r="K4" s="16" t="s">
        <v>51</v>
      </c>
      <c r="L4" s="16" t="s">
        <v>52</v>
      </c>
      <c r="M4" s="16" t="s">
        <v>53</v>
      </c>
      <c r="N4" s="16" t="s">
        <v>46</v>
      </c>
      <c r="O4" s="16" t="s">
        <v>54</v>
      </c>
      <c r="P4" s="16" t="s">
        <v>5</v>
      </c>
      <c r="Q4" s="17" t="s">
        <v>55</v>
      </c>
      <c r="R4" s="17" t="s">
        <v>56</v>
      </c>
      <c r="S4" s="17" t="s">
        <v>57</v>
      </c>
      <c r="T4" s="17" t="s">
        <v>63</v>
      </c>
      <c r="U4" s="17" t="s">
        <v>5</v>
      </c>
      <c r="V4" s="17" t="s">
        <v>58</v>
      </c>
      <c r="W4" s="17" t="s">
        <v>59</v>
      </c>
      <c r="X4" s="17" t="s">
        <v>60</v>
      </c>
      <c r="Y4" s="17" t="s">
        <v>5</v>
      </c>
      <c r="Z4" s="46"/>
      <c r="AA4" s="46"/>
      <c r="AB4" s="46"/>
      <c r="AC4" s="53"/>
      <c r="AD4" s="50"/>
      <c r="AE4" s="50"/>
      <c r="AF4" s="50"/>
      <c r="AG4" s="50"/>
      <c r="AH4" s="46"/>
      <c r="AI4" s="48"/>
    </row>
    <row r="5" spans="1:36" x14ac:dyDescent="0.55000000000000004">
      <c r="A5" s="4">
        <v>10660</v>
      </c>
      <c r="B5" s="5" t="s">
        <v>19</v>
      </c>
      <c r="C5" s="6">
        <v>0</v>
      </c>
      <c r="D5" s="6"/>
      <c r="E5" s="6"/>
      <c r="F5" s="6"/>
      <c r="G5" s="6"/>
      <c r="H5" s="6">
        <v>0</v>
      </c>
      <c r="I5" s="6"/>
      <c r="J5" s="6">
        <f>SUM(C5:I5)</f>
        <v>0</v>
      </c>
      <c r="K5" s="6"/>
      <c r="L5" s="6"/>
      <c r="M5" s="6"/>
      <c r="N5" s="6"/>
      <c r="O5" s="6">
        <f>9762104.18</f>
        <v>9762104.1799999997</v>
      </c>
      <c r="P5" s="6">
        <f>SUM(K5:O5)</f>
        <v>9762104.1799999997</v>
      </c>
      <c r="Q5" s="6"/>
      <c r="R5" s="6"/>
      <c r="S5" s="6">
        <v>0</v>
      </c>
      <c r="T5" s="6"/>
      <c r="U5" s="6">
        <f>SUM(Q5:T5)</f>
        <v>0</v>
      </c>
      <c r="V5" s="18">
        <f>5220+183343.77+3798109.46+16718.1+31608+7400+1935683.8+28534.59+3109411.8+5102069.12+166027.7+2223201.74</f>
        <v>16607328.08</v>
      </c>
      <c r="W5" s="18"/>
      <c r="X5" s="18"/>
      <c r="Y5" s="6">
        <f>SUM(V5:X5)</f>
        <v>16607328.08</v>
      </c>
      <c r="Z5" s="18"/>
      <c r="AA5" s="18"/>
      <c r="AB5" s="18"/>
      <c r="AC5" s="18">
        <f>1275400</f>
        <v>1275400</v>
      </c>
      <c r="AD5" s="18">
        <f>100000</f>
        <v>100000</v>
      </c>
      <c r="AE5" s="18">
        <f>4672540.98+80661.05</f>
        <v>4753202.03</v>
      </c>
      <c r="AF5" s="18">
        <f>75450+49740+32050+778514+425878.6+2316.02+2316.02+601686.25+575596.35+4958.46+430451.5+224778.25+399970.18+30319.75+33640+12460.37+711868.75+726143+475968.59+512343.75+59247+9945+10918.28+104914+5958.14+19731+11357.92+30294+2000+74552+6000+25928</f>
        <v>6467295.1799999997</v>
      </c>
      <c r="AG5" s="18">
        <f>19678276.58</f>
        <v>19678276.579999998</v>
      </c>
      <c r="AH5" s="6">
        <f>J5+P5+U5+Y5+Z5+AA5+AB5+AC5+AE5+AG5+AF5+AD5</f>
        <v>58643606.049999997</v>
      </c>
      <c r="AI5" s="27">
        <f>2247299.5+873992.5</f>
        <v>3121292</v>
      </c>
    </row>
    <row r="6" spans="1:36" x14ac:dyDescent="0.55000000000000004">
      <c r="A6" s="4">
        <v>10688</v>
      </c>
      <c r="B6" s="5" t="s">
        <v>20</v>
      </c>
      <c r="C6" s="6"/>
      <c r="D6" s="6"/>
      <c r="E6" s="6"/>
      <c r="F6" s="6"/>
      <c r="G6" s="6"/>
      <c r="H6" s="6"/>
      <c r="I6" s="6"/>
      <c r="J6" s="6">
        <f t="shared" ref="J6:J20" si="0">SUM(C6:I6)</f>
        <v>0</v>
      </c>
      <c r="K6" s="6"/>
      <c r="L6" s="6"/>
      <c r="M6" s="6"/>
      <c r="N6" s="6"/>
      <c r="O6" s="6">
        <f>1118036.3</f>
        <v>1118036.3</v>
      </c>
      <c r="P6" s="6">
        <f t="shared" ref="P6:P20" si="1">SUM(K6:O6)</f>
        <v>1118036.3</v>
      </c>
      <c r="Q6" s="6"/>
      <c r="R6" s="6"/>
      <c r="S6" s="6"/>
      <c r="T6" s="6"/>
      <c r="U6" s="6">
        <f t="shared" ref="U6:U20" si="2">SUM(Q6:T6)</f>
        <v>0</v>
      </c>
      <c r="V6" s="18">
        <f>612160.12+148000+78900+27000+11196.3+190156.54+18000+15390+822967.68+261364.32+211654.72+352973.5+3050.1+2000+61402.5+96458.42+840915</f>
        <v>3753589.2</v>
      </c>
      <c r="W6" s="18"/>
      <c r="X6" s="18"/>
      <c r="Y6" s="6">
        <f t="shared" ref="Y6:Y20" si="3">SUM(V6:X6)</f>
        <v>3753589.2</v>
      </c>
      <c r="Z6" s="18"/>
      <c r="AA6" s="18"/>
      <c r="AB6" s="18"/>
      <c r="AC6" s="18">
        <f>24000+226000</f>
        <v>250000</v>
      </c>
      <c r="AD6" s="18">
        <f>100000</f>
        <v>100000</v>
      </c>
      <c r="AE6" s="18"/>
      <c r="AF6" s="18">
        <f>55673.26+25304.12+69751+39221+24183.13+30029+23033+14575+6432.25+57116.07+36779.59+121357+100836+77016+3790.38+14958.66+54666+26787+118395.12+83803+55763+55326+45516+22275+67443+20463+47280+23590.11+2901.7+29720+12820.33+4223.62+43216.87+19126+4101.7+22054.15+9945+10918.28+104914+5958.14+19731+11357.92+30294+2000+74552+6000+25928</f>
        <v>1761125.4000000001</v>
      </c>
      <c r="AG6" s="18">
        <f>7194088.53</f>
        <v>7194088.5300000003</v>
      </c>
      <c r="AH6" s="6">
        <f>J6+P6+U6+Y6+Z6+AA6+AB6+AC6+AE6+AG6+AF6+AD6</f>
        <v>14176839.430000002</v>
      </c>
      <c r="AI6" s="27">
        <f>443301.5+1121309.25</f>
        <v>1564610.75</v>
      </c>
    </row>
    <row r="7" spans="1:36" x14ac:dyDescent="0.55000000000000004">
      <c r="A7" s="4">
        <v>10768</v>
      </c>
      <c r="B7" s="5" t="s">
        <v>21</v>
      </c>
      <c r="C7" s="6"/>
      <c r="D7" s="6"/>
      <c r="E7" s="6"/>
      <c r="F7" s="6"/>
      <c r="G7" s="6"/>
      <c r="H7" s="6"/>
      <c r="I7" s="6"/>
      <c r="J7" s="6">
        <f t="shared" si="0"/>
        <v>0</v>
      </c>
      <c r="K7" s="6"/>
      <c r="L7" s="6"/>
      <c r="M7" s="6"/>
      <c r="N7" s="6"/>
      <c r="O7" s="6">
        <f>210210.43+11089.16</f>
        <v>221299.59</v>
      </c>
      <c r="P7" s="6">
        <f t="shared" si="1"/>
        <v>221299.59</v>
      </c>
      <c r="Q7" s="6"/>
      <c r="R7" s="6"/>
      <c r="S7" s="6"/>
      <c r="T7" s="6"/>
      <c r="U7" s="6">
        <f t="shared" si="2"/>
        <v>0</v>
      </c>
      <c r="V7" s="18">
        <f>54614.62+8800+10168.04+51630.91+8457.13+11400+1366.2+6687.3+2663.11+14191.6+7454.3+6632+4382.55+427.5+8395.66+4400+11921.19+8100</f>
        <v>221692.11</v>
      </c>
      <c r="W7" s="18"/>
      <c r="X7" s="18"/>
      <c r="Y7" s="6">
        <f t="shared" si="3"/>
        <v>221692.11</v>
      </c>
      <c r="Z7" s="18"/>
      <c r="AA7" s="18"/>
      <c r="AB7" s="18"/>
      <c r="AC7" s="18"/>
      <c r="AD7" s="18">
        <f>100000</f>
        <v>100000</v>
      </c>
      <c r="AE7" s="18">
        <f>12183.7+13200+4152.2</f>
        <v>29535.9</v>
      </c>
      <c r="AF7" s="18">
        <f>8572.25+25867.5+21848.68+2757+150+18204.5+36672.75+20459.5+2000+3930+33792.5+7550.94+4965.17+29313.25+20265.75+3900+18439.75+11352.5+24857.25+176.5+24327+320+2289.75+17522.75+16894.5+19928.25+14037.5+19096.75+822.5+10276.5+18950.25</f>
        <v>439541.54000000004</v>
      </c>
      <c r="AG7" s="18">
        <f>2538534.84</f>
        <v>2538534.84</v>
      </c>
      <c r="AH7" s="6">
        <f t="shared" ref="AH6:AH20" si="4">J7+P7+U7+Y7+Z7+AA7+AB7+AC7+AE7+AG7+AF7+AD7</f>
        <v>3550603.98</v>
      </c>
      <c r="AI7" s="27">
        <f>340252+973789</f>
        <v>1314041</v>
      </c>
    </row>
    <row r="8" spans="1:36" s="21" customFormat="1" x14ac:dyDescent="0.55000000000000004">
      <c r="A8" s="24">
        <v>10769</v>
      </c>
      <c r="B8" s="25" t="s">
        <v>22</v>
      </c>
      <c r="C8" s="23"/>
      <c r="D8" s="23"/>
      <c r="E8" s="23"/>
      <c r="F8" s="23"/>
      <c r="G8" s="23"/>
      <c r="H8" s="23"/>
      <c r="I8" s="23"/>
      <c r="J8" s="23">
        <f t="shared" si="0"/>
        <v>0</v>
      </c>
      <c r="K8" s="23"/>
      <c r="L8" s="23"/>
      <c r="M8" s="23"/>
      <c r="N8" s="23"/>
      <c r="O8" s="23">
        <f>921505.16</f>
        <v>921505.16</v>
      </c>
      <c r="P8" s="18">
        <f t="shared" si="1"/>
        <v>921505.16</v>
      </c>
      <c r="Q8" s="23"/>
      <c r="R8" s="23"/>
      <c r="S8" s="23"/>
      <c r="T8" s="23"/>
      <c r="U8" s="6">
        <f t="shared" si="2"/>
        <v>0</v>
      </c>
      <c r="V8" s="23">
        <f>60143.97+70240.77+2660+1680+11007.4+27622.42+24673.8+48570.72+500+1300+55050.94+23308.5-230000-7399.7</f>
        <v>89358.820000000022</v>
      </c>
      <c r="W8" s="23"/>
      <c r="X8" s="23"/>
      <c r="Y8" s="23">
        <f t="shared" si="3"/>
        <v>89358.820000000022</v>
      </c>
      <c r="Z8" s="23"/>
      <c r="AA8" s="23"/>
      <c r="AB8" s="23"/>
      <c r="AC8" s="23"/>
      <c r="AD8" s="23">
        <f>100000</f>
        <v>100000</v>
      </c>
      <c r="AE8" s="23">
        <f>52172.47+24343.6</f>
        <v>76516.070000000007</v>
      </c>
      <c r="AF8" s="23">
        <f>29554+8255.9+15841.04+28995+3895.21+28098+34072</f>
        <v>148711.15000000002</v>
      </c>
      <c r="AG8" s="23">
        <v>2215112.2000000002</v>
      </c>
      <c r="AH8" s="6">
        <f t="shared" si="4"/>
        <v>3551203.4</v>
      </c>
      <c r="AI8" s="28">
        <f>160962+398929</f>
        <v>559891</v>
      </c>
    </row>
    <row r="9" spans="1:36" s="21" customFormat="1" x14ac:dyDescent="0.55000000000000004">
      <c r="A9" s="19">
        <v>10770</v>
      </c>
      <c r="B9" s="20" t="s">
        <v>23</v>
      </c>
      <c r="C9" s="22"/>
      <c r="D9" s="22"/>
      <c r="E9" s="22"/>
      <c r="F9" s="22"/>
      <c r="G9" s="22"/>
      <c r="H9" s="22"/>
      <c r="I9" s="22"/>
      <c r="J9" s="22">
        <f t="shared" si="0"/>
        <v>0</v>
      </c>
      <c r="K9" s="22"/>
      <c r="L9" s="22"/>
      <c r="M9" s="22"/>
      <c r="N9" s="22"/>
      <c r="O9" s="22">
        <f>208057.8+360527.01</f>
        <v>568584.81000000006</v>
      </c>
      <c r="P9" s="22">
        <f t="shared" si="1"/>
        <v>568584.81000000006</v>
      </c>
      <c r="Q9" s="22"/>
      <c r="R9" s="22"/>
      <c r="S9" s="22"/>
      <c r="T9" s="6">
        <f>2700+1080</f>
        <v>3780</v>
      </c>
      <c r="U9" s="6">
        <f t="shared" si="2"/>
        <v>3780</v>
      </c>
      <c r="V9" s="22">
        <f>61635.8+3000+6071.4+6051.7+3804+500+11750.7+500+1500+1500+8524.8+8176.7+26583.4+5281.5+1596+3955.7+2104.2</f>
        <v>152535.90000000002</v>
      </c>
      <c r="W9" s="23"/>
      <c r="X9" s="23"/>
      <c r="Y9" s="22">
        <f t="shared" si="3"/>
        <v>152535.90000000002</v>
      </c>
      <c r="Z9" s="23"/>
      <c r="AA9" s="23"/>
      <c r="AB9" s="23"/>
      <c r="AC9" s="23"/>
      <c r="AD9" s="23">
        <f>100000</f>
        <v>100000</v>
      </c>
      <c r="AE9" s="23"/>
      <c r="AF9" s="23">
        <f>39474+2278.45+6532.72+23387+13616+23916</f>
        <v>109204.17</v>
      </c>
      <c r="AG9" s="23">
        <f>1691439.91</f>
        <v>1691439.91</v>
      </c>
      <c r="AH9" s="6">
        <f t="shared" si="4"/>
        <v>2625544.79</v>
      </c>
      <c r="AI9" s="28">
        <f>233623+534434.75</f>
        <v>768057.75</v>
      </c>
    </row>
    <row r="10" spans="1:36" x14ac:dyDescent="0.55000000000000004">
      <c r="A10" s="4">
        <v>10771</v>
      </c>
      <c r="B10" s="5" t="s">
        <v>24</v>
      </c>
      <c r="C10" s="6"/>
      <c r="D10" s="6"/>
      <c r="E10" s="6"/>
      <c r="F10" s="6"/>
      <c r="G10" s="6"/>
      <c r="H10" s="6"/>
      <c r="I10" s="6"/>
      <c r="J10" s="6">
        <f t="shared" si="0"/>
        <v>0</v>
      </c>
      <c r="K10" s="6"/>
      <c r="L10" s="6"/>
      <c r="M10" s="6"/>
      <c r="N10" s="6"/>
      <c r="O10" s="6">
        <f>48458.12</f>
        <v>48458.12</v>
      </c>
      <c r="P10" s="6">
        <f t="shared" si="1"/>
        <v>48458.12</v>
      </c>
      <c r="Q10" s="6"/>
      <c r="R10" s="6"/>
      <c r="S10" s="6"/>
      <c r="T10" s="6"/>
      <c r="U10" s="6">
        <f t="shared" si="2"/>
        <v>0</v>
      </c>
      <c r="V10" s="6">
        <f>1000+5551.7+1000+26263.31+2176.65+4400+500+4385.03+1500+44372.01+500</f>
        <v>91648.700000000012</v>
      </c>
      <c r="W10" s="18"/>
      <c r="X10" s="18"/>
      <c r="Y10" s="6">
        <f t="shared" si="3"/>
        <v>91648.700000000012</v>
      </c>
      <c r="Z10" s="18"/>
      <c r="AA10" s="18"/>
      <c r="AB10" s="18"/>
      <c r="AC10" s="18"/>
      <c r="AD10" s="18">
        <f>100000</f>
        <v>100000</v>
      </c>
      <c r="AE10" s="18"/>
      <c r="AF10" s="18">
        <f>24961+30958.5+29133+762+28415+14362+6455.9</f>
        <v>135047.4</v>
      </c>
      <c r="AG10" s="18">
        <v>1454983.26</v>
      </c>
      <c r="AH10" s="6">
        <f t="shared" si="4"/>
        <v>1830137.48</v>
      </c>
      <c r="AI10" s="28">
        <f>423208.25</f>
        <v>423208.25</v>
      </c>
    </row>
    <row r="11" spans="1:36" x14ac:dyDescent="0.55000000000000004">
      <c r="A11" s="4">
        <v>10772</v>
      </c>
      <c r="B11" s="5" t="s">
        <v>25</v>
      </c>
      <c r="C11" s="6"/>
      <c r="D11" s="6"/>
      <c r="E11" s="6"/>
      <c r="F11" s="6"/>
      <c r="G11" s="6"/>
      <c r="H11" s="6"/>
      <c r="I11" s="6"/>
      <c r="J11" s="6">
        <f t="shared" si="0"/>
        <v>0</v>
      </c>
      <c r="K11" s="6"/>
      <c r="L11" s="6"/>
      <c r="M11" s="6"/>
      <c r="N11" s="6"/>
      <c r="O11" s="6">
        <f>171353.86+626742.47</f>
        <v>798096.33</v>
      </c>
      <c r="P11" s="6">
        <f t="shared" si="1"/>
        <v>798096.33</v>
      </c>
      <c r="Q11" s="6"/>
      <c r="R11" s="6"/>
      <c r="S11" s="6"/>
      <c r="T11" s="6">
        <f>5940+5940</f>
        <v>11880</v>
      </c>
      <c r="U11" s="6">
        <f t="shared" si="2"/>
        <v>11880</v>
      </c>
      <c r="V11" s="18">
        <f>16396.3+760+25467.4+2346+20533.1+3268.4+117342+12789.4+8200+101785.7+9000+500+6288</f>
        <v>324676.3</v>
      </c>
      <c r="W11" s="18"/>
      <c r="X11" s="18"/>
      <c r="Y11" s="6">
        <f t="shared" si="3"/>
        <v>324676.3</v>
      </c>
      <c r="Z11" s="18"/>
      <c r="AA11" s="18"/>
      <c r="AB11" s="18"/>
      <c r="AC11" s="18"/>
      <c r="AD11" s="18">
        <f>100000</f>
        <v>100000</v>
      </c>
      <c r="AE11" s="18">
        <f>58395.6</f>
        <v>58395.6</v>
      </c>
      <c r="AF11" s="18">
        <f>13991.61+28571.5+34612+30652+8552.69</f>
        <v>116379.8</v>
      </c>
      <c r="AG11" s="18">
        <v>4429032.54</v>
      </c>
      <c r="AH11" s="6">
        <f t="shared" si="4"/>
        <v>5838460.5699999994</v>
      </c>
      <c r="AI11" s="28">
        <f>398972.25+1100013.25</f>
        <v>1498985.5</v>
      </c>
    </row>
    <row r="12" spans="1:36" x14ac:dyDescent="0.55000000000000004">
      <c r="A12" s="4">
        <v>10773</v>
      </c>
      <c r="B12" s="5" t="s">
        <v>26</v>
      </c>
      <c r="C12" s="6"/>
      <c r="D12" s="6"/>
      <c r="E12" s="6"/>
      <c r="F12" s="6"/>
      <c r="G12" s="6"/>
      <c r="H12" s="6"/>
      <c r="I12" s="6"/>
      <c r="J12" s="6">
        <f t="shared" si="0"/>
        <v>0</v>
      </c>
      <c r="K12" s="6"/>
      <c r="L12" s="6"/>
      <c r="M12" s="6"/>
      <c r="N12" s="6"/>
      <c r="O12" s="6">
        <f>439590.16</f>
        <v>439590.16</v>
      </c>
      <c r="P12" s="6">
        <f t="shared" si="1"/>
        <v>439590.16</v>
      </c>
      <c r="Q12" s="6"/>
      <c r="R12" s="6"/>
      <c r="S12" s="6"/>
      <c r="T12" s="6"/>
      <c r="U12" s="6">
        <f t="shared" si="2"/>
        <v>0</v>
      </c>
      <c r="V12" s="18">
        <f>4400+6886.8+3692+43871.45+5192+4955.7+33773.94+14114.43+13644.7</f>
        <v>130531.02</v>
      </c>
      <c r="W12" s="18">
        <f>300</f>
        <v>300</v>
      </c>
      <c r="X12" s="18"/>
      <c r="Y12" s="6">
        <f t="shared" si="3"/>
        <v>130831.02</v>
      </c>
      <c r="Z12" s="18"/>
      <c r="AA12" s="18"/>
      <c r="AB12" s="18"/>
      <c r="AC12" s="18"/>
      <c r="AD12" s="18">
        <f>100000</f>
        <v>100000</v>
      </c>
      <c r="AE12" s="18"/>
      <c r="AF12" s="18">
        <f>40416.75+30867.5+42667.25+9019+12318+2476.28+4965.4+23227.75</f>
        <v>165957.93</v>
      </c>
      <c r="AG12" s="18">
        <f>1946872.22</f>
        <v>1946872.22</v>
      </c>
      <c r="AH12" s="6">
        <f t="shared" si="4"/>
        <v>2783251.33</v>
      </c>
      <c r="AI12" s="28">
        <f>168515.75+6276+465868.5</f>
        <v>640660.25</v>
      </c>
    </row>
    <row r="13" spans="1:36" x14ac:dyDescent="0.55000000000000004">
      <c r="A13" s="4">
        <v>10774</v>
      </c>
      <c r="B13" s="5" t="s">
        <v>27</v>
      </c>
      <c r="C13" s="6"/>
      <c r="D13" s="6"/>
      <c r="E13" s="6"/>
      <c r="F13" s="6"/>
      <c r="G13" s="6"/>
      <c r="H13" s="6"/>
      <c r="I13" s="6"/>
      <c r="J13" s="6">
        <f t="shared" si="0"/>
        <v>0</v>
      </c>
      <c r="K13" s="6"/>
      <c r="L13" s="6"/>
      <c r="M13" s="6"/>
      <c r="N13" s="6"/>
      <c r="O13" s="6">
        <f>400158.82</f>
        <v>400158.82</v>
      </c>
      <c r="P13" s="6">
        <f t="shared" si="1"/>
        <v>400158.82</v>
      </c>
      <c r="Q13" s="6"/>
      <c r="R13" s="6"/>
      <c r="S13" s="6"/>
      <c r="T13" s="6"/>
      <c r="U13" s="6">
        <f t="shared" si="2"/>
        <v>0</v>
      </c>
      <c r="V13" s="18">
        <f>1000+333+7095.8+13507.4+22449.7+58906.6+2000+57200+29816.21+116181.32</f>
        <v>308490.03000000003</v>
      </c>
      <c r="W13" s="18"/>
      <c r="X13" s="18"/>
      <c r="Y13" s="6">
        <f t="shared" si="3"/>
        <v>308490.03000000003</v>
      </c>
      <c r="Z13" s="18"/>
      <c r="AA13" s="18"/>
      <c r="AB13" s="18"/>
      <c r="AC13" s="18"/>
      <c r="AD13" s="18">
        <f>100000</f>
        <v>100000</v>
      </c>
      <c r="AE13" s="18"/>
      <c r="AF13" s="18">
        <f>56564+22951.91+59116+20840.88+44440+4508.96+4324.45+45038</f>
        <v>257784.2</v>
      </c>
      <c r="AG13" s="18">
        <f>2263576.22</f>
        <v>2263576.2200000002</v>
      </c>
      <c r="AH13" s="6">
        <f t="shared" si="4"/>
        <v>3330009.2700000005</v>
      </c>
      <c r="AI13" s="28">
        <f>286891.25+610118.25</f>
        <v>897009.5</v>
      </c>
    </row>
    <row r="14" spans="1:36" x14ac:dyDescent="0.55000000000000004">
      <c r="A14" s="4">
        <v>10775</v>
      </c>
      <c r="B14" s="5" t="s">
        <v>28</v>
      </c>
      <c r="C14" s="6"/>
      <c r="D14" s="6"/>
      <c r="E14" s="6"/>
      <c r="F14" s="6"/>
      <c r="G14" s="6"/>
      <c r="H14" s="6"/>
      <c r="I14" s="6"/>
      <c r="J14" s="6">
        <f t="shared" si="0"/>
        <v>0</v>
      </c>
      <c r="K14" s="6"/>
      <c r="L14" s="6"/>
      <c r="M14" s="6"/>
      <c r="N14" s="6"/>
      <c r="O14" s="6">
        <f>435119.08</f>
        <v>435119.08</v>
      </c>
      <c r="P14" s="6">
        <f t="shared" si="1"/>
        <v>435119.08</v>
      </c>
      <c r="Q14" s="6"/>
      <c r="R14" s="6"/>
      <c r="S14" s="6"/>
      <c r="T14" s="6"/>
      <c r="U14" s="6">
        <f t="shared" si="2"/>
        <v>0</v>
      </c>
      <c r="V14" s="18">
        <f>11095.7+29530.8+17094+11019.4+36630.5+110459.3+85698.7+21205</f>
        <v>322733.40000000002</v>
      </c>
      <c r="W14" s="18"/>
      <c r="X14" s="18"/>
      <c r="Y14" s="6">
        <f t="shared" si="3"/>
        <v>322733.40000000002</v>
      </c>
      <c r="Z14" s="18"/>
      <c r="AA14" s="18"/>
      <c r="AB14" s="18"/>
      <c r="AC14" s="18"/>
      <c r="AD14" s="18">
        <f>100000</f>
        <v>100000</v>
      </c>
      <c r="AE14" s="18"/>
      <c r="AF14" s="18">
        <f>20308.34+13879.38+37450.25+25424+40927+4150.94+27337.25+14561.4+8233.41+42110.25+810</f>
        <v>235192.22</v>
      </c>
      <c r="AG14" s="18">
        <f>1940705.72</f>
        <v>1940705.72</v>
      </c>
      <c r="AH14" s="6">
        <f t="shared" si="4"/>
        <v>3033750.4200000004</v>
      </c>
      <c r="AI14" s="28">
        <f>178880.25+430935.25</f>
        <v>609815.5</v>
      </c>
    </row>
    <row r="15" spans="1:36" x14ac:dyDescent="0.55000000000000004">
      <c r="A15" s="4">
        <v>10776</v>
      </c>
      <c r="B15" s="5" t="s">
        <v>29</v>
      </c>
      <c r="C15" s="6"/>
      <c r="D15" s="6"/>
      <c r="E15" s="6"/>
      <c r="F15" s="6"/>
      <c r="G15" s="6"/>
      <c r="H15" s="6"/>
      <c r="I15" s="6"/>
      <c r="J15" s="6">
        <f t="shared" si="0"/>
        <v>0</v>
      </c>
      <c r="K15" s="6"/>
      <c r="L15" s="6"/>
      <c r="M15" s="6"/>
      <c r="N15" s="6"/>
      <c r="O15" s="6">
        <f>273543.15</f>
        <v>273543.15000000002</v>
      </c>
      <c r="P15" s="6">
        <f t="shared" si="1"/>
        <v>273543.15000000002</v>
      </c>
      <c r="Q15" s="6"/>
      <c r="R15" s="6"/>
      <c r="S15" s="6"/>
      <c r="T15" s="6">
        <f>2160+1350</f>
        <v>3510</v>
      </c>
      <c r="U15" s="6">
        <f t="shared" si="2"/>
        <v>3510</v>
      </c>
      <c r="V15" s="18">
        <f>17920+2702+5603.7+89570.93+123022.11+116828.79</f>
        <v>355647.52999999997</v>
      </c>
      <c r="W15" s="18">
        <f>120</f>
        <v>120</v>
      </c>
      <c r="X15" s="18"/>
      <c r="Y15" s="6">
        <f t="shared" si="3"/>
        <v>355767.52999999997</v>
      </c>
      <c r="Z15" s="18"/>
      <c r="AA15" s="18"/>
      <c r="AB15" s="18"/>
      <c r="AC15" s="18"/>
      <c r="AD15" s="18">
        <v>100000</v>
      </c>
      <c r="AE15" s="18">
        <f>3905</f>
        <v>3905</v>
      </c>
      <c r="AF15" s="18">
        <f>28750+39029.51+52516+33979+10416+13357</f>
        <v>178047.51</v>
      </c>
      <c r="AG15" s="18">
        <f>1986398.37</f>
        <v>1986398.37</v>
      </c>
      <c r="AH15" s="6">
        <f>J15+P15+U15+Y15+Z15+AA15+AB15+AC15+AE15+AG15+AF15+AD15</f>
        <v>2901171.5599999996</v>
      </c>
      <c r="AI15" s="28">
        <f>236606.25+502922</f>
        <v>739528.25</v>
      </c>
      <c r="AJ15" s="13"/>
    </row>
    <row r="16" spans="1:36" x14ac:dyDescent="0.55000000000000004">
      <c r="A16" s="4">
        <v>10777</v>
      </c>
      <c r="B16" s="5" t="s">
        <v>30</v>
      </c>
      <c r="C16" s="6"/>
      <c r="D16" s="6"/>
      <c r="E16" s="6"/>
      <c r="F16" s="6"/>
      <c r="G16" s="6"/>
      <c r="H16" s="6"/>
      <c r="I16" s="6"/>
      <c r="J16" s="6">
        <f t="shared" si="0"/>
        <v>0</v>
      </c>
      <c r="K16" s="6"/>
      <c r="L16" s="6"/>
      <c r="M16" s="6"/>
      <c r="N16" s="6"/>
      <c r="O16" s="6">
        <f>1094024.98</f>
        <v>1094024.98</v>
      </c>
      <c r="P16" s="6">
        <f t="shared" si="1"/>
        <v>1094024.98</v>
      </c>
      <c r="Q16" s="6"/>
      <c r="R16" s="6"/>
      <c r="S16" s="6"/>
      <c r="T16" s="6">
        <f>4860</f>
        <v>4860</v>
      </c>
      <c r="U16" s="6">
        <f t="shared" si="2"/>
        <v>4860</v>
      </c>
      <c r="V16" s="18">
        <f>1368+720+48583.9+33096.5+51250.2+6195+151218.55+62946.6+83712</f>
        <v>439090.74999999994</v>
      </c>
      <c r="W16" s="18"/>
      <c r="X16" s="18"/>
      <c r="Y16" s="6">
        <f t="shared" si="3"/>
        <v>439090.74999999994</v>
      </c>
      <c r="Z16" s="18"/>
      <c r="AA16" s="18"/>
      <c r="AB16" s="18"/>
      <c r="AC16" s="18"/>
      <c r="AD16" s="18">
        <f>100000</f>
        <v>100000</v>
      </c>
      <c r="AE16" s="18"/>
      <c r="AF16" s="18">
        <f>5091.32+280+2920+8270.02+16518.23</f>
        <v>33079.57</v>
      </c>
      <c r="AG16" s="18">
        <v>3430661.56</v>
      </c>
      <c r="AH16" s="6">
        <f t="shared" si="4"/>
        <v>5101716.8600000003</v>
      </c>
      <c r="AI16" s="28">
        <f>336519.25+813658.75</f>
        <v>1150178</v>
      </c>
      <c r="AJ16" s="13"/>
    </row>
    <row r="17" spans="1:36" x14ac:dyDescent="0.55000000000000004">
      <c r="A17" s="4">
        <v>10778</v>
      </c>
      <c r="B17" s="5" t="s">
        <v>31</v>
      </c>
      <c r="C17" s="6"/>
      <c r="D17" s="6"/>
      <c r="E17" s="6"/>
      <c r="F17" s="6"/>
      <c r="G17" s="6"/>
      <c r="H17" s="6"/>
      <c r="I17" s="6"/>
      <c r="J17" s="6">
        <f t="shared" si="0"/>
        <v>0</v>
      </c>
      <c r="K17" s="18"/>
      <c r="L17" s="18"/>
      <c r="M17" s="18"/>
      <c r="N17" s="18"/>
      <c r="O17" s="18">
        <f>99202.98</f>
        <v>99202.98</v>
      </c>
      <c r="P17" s="6">
        <f t="shared" si="1"/>
        <v>99202.98</v>
      </c>
      <c r="Q17" s="6"/>
      <c r="R17" s="6"/>
      <c r="S17" s="6"/>
      <c r="T17" s="6"/>
      <c r="U17" s="6">
        <f t="shared" si="2"/>
        <v>0</v>
      </c>
      <c r="V17" s="18">
        <f>676.35+12700+82200+2000+1003.95+487.35+500+7409.55</f>
        <v>106977.20000000001</v>
      </c>
      <c r="W17" s="18"/>
      <c r="X17" s="18"/>
      <c r="Y17" s="6">
        <f t="shared" si="3"/>
        <v>106977.20000000001</v>
      </c>
      <c r="Z17" s="18"/>
      <c r="AA17" s="18"/>
      <c r="AB17" s="18"/>
      <c r="AC17" s="18"/>
      <c r="AD17" s="18">
        <v>100000</v>
      </c>
      <c r="AE17" s="18"/>
      <c r="AF17" s="18">
        <f>10871.04+10939.75+7802.5+7837+28591.19+12964+50+2388.5+2270.5+4894.75+2839</f>
        <v>91448.23</v>
      </c>
      <c r="AG17" s="18">
        <f>932897.91</f>
        <v>932897.91</v>
      </c>
      <c r="AH17" s="6">
        <f t="shared" si="4"/>
        <v>1330526.32</v>
      </c>
      <c r="AI17" s="28">
        <f>230413.75+82020.5</f>
        <v>312434.25</v>
      </c>
      <c r="AJ17" s="13"/>
    </row>
    <row r="18" spans="1:36" x14ac:dyDescent="0.55000000000000004">
      <c r="A18" s="4">
        <v>10779</v>
      </c>
      <c r="B18" s="5" t="s">
        <v>32</v>
      </c>
      <c r="C18" s="6"/>
      <c r="D18" s="6"/>
      <c r="E18" s="6"/>
      <c r="F18" s="6"/>
      <c r="G18" s="6"/>
      <c r="H18" s="6"/>
      <c r="I18" s="6"/>
      <c r="J18" s="6">
        <f t="shared" si="0"/>
        <v>0</v>
      </c>
      <c r="K18" s="18"/>
      <c r="L18" s="18"/>
      <c r="M18" s="18"/>
      <c r="N18" s="18"/>
      <c r="O18" s="18">
        <f>315998.09+445552.89</f>
        <v>761550.98</v>
      </c>
      <c r="P18" s="6">
        <f t="shared" si="1"/>
        <v>761550.98</v>
      </c>
      <c r="Q18" s="6"/>
      <c r="R18" s="6"/>
      <c r="S18" s="6"/>
      <c r="T18" s="6"/>
      <c r="U18" s="6">
        <f t="shared" si="2"/>
        <v>0</v>
      </c>
      <c r="V18" s="18">
        <f>10240.2+6192+380+19983.5+27266.42+500+500+21793.29+7911.4+4604+1596+4955.7+15195.9+500+500+1596+17635.76+500+6051.7+1500+1596+1000+3955.7+112.5+1000+3955.7+500+63260.8+12042.73+3866.36+1000+62100.69</f>
        <v>303792.34999999998</v>
      </c>
      <c r="W18" s="18"/>
      <c r="X18" s="18"/>
      <c r="Y18" s="6">
        <f t="shared" si="3"/>
        <v>303792.34999999998</v>
      </c>
      <c r="Z18" s="18"/>
      <c r="AA18" s="18"/>
      <c r="AB18" s="18"/>
      <c r="AC18" s="18"/>
      <c r="AD18" s="18">
        <f>100000</f>
        <v>100000</v>
      </c>
      <c r="AE18" s="18">
        <f>28665.31</f>
        <v>28665.31</v>
      </c>
      <c r="AF18" s="18">
        <f>3508.96+16785.38+630+5843.23+7478.5+971+9277.35+41514.16+4886.18+5292.5+14108.5+10200+2750.94+75+50+7055.9+16743.5+12177.9+7535.5+7925.7+2180+6724.45+12893.75+15269.25+9985.65+12808.05+7228.75+2710+7712.75+8364+4773.4+14400.4+11091.25+11212.4+12915.65+1955+13132.5+240+12581+5710+180+9207.9+670+17095.75</f>
        <v>375852.10000000009</v>
      </c>
      <c r="AG18" s="18">
        <f>2473746.99</f>
        <v>2473746.9900000002</v>
      </c>
      <c r="AH18" s="6">
        <f t="shared" si="4"/>
        <v>4043607.7300000004</v>
      </c>
      <c r="AI18" s="28">
        <f>841730+283526</f>
        <v>1125256</v>
      </c>
    </row>
    <row r="19" spans="1:36" x14ac:dyDescent="0.55000000000000004">
      <c r="A19" s="4">
        <v>10780</v>
      </c>
      <c r="B19" s="5" t="s">
        <v>33</v>
      </c>
      <c r="C19" s="6"/>
      <c r="D19" s="6"/>
      <c r="E19" s="6"/>
      <c r="F19" s="6"/>
      <c r="G19" s="6"/>
      <c r="H19" s="6"/>
      <c r="I19" s="6"/>
      <c r="J19" s="6">
        <f t="shared" si="0"/>
        <v>0</v>
      </c>
      <c r="K19" s="18"/>
      <c r="L19" s="18"/>
      <c r="M19" s="18"/>
      <c r="N19" s="18"/>
      <c r="O19" s="18"/>
      <c r="P19" s="6">
        <f t="shared" si="1"/>
        <v>0</v>
      </c>
      <c r="Q19" s="6"/>
      <c r="R19" s="6"/>
      <c r="S19" s="6"/>
      <c r="T19" s="6"/>
      <c r="U19" s="6">
        <f t="shared" si="2"/>
        <v>0</v>
      </c>
      <c r="V19" s="18">
        <f>2815.43+2645.33+8727.15+2000+6097.85+4400+17300+500+5093.6+8874.6+7538.22+13642.99+979.43+47805.38</f>
        <v>128419.97999999998</v>
      </c>
      <c r="W19" s="18"/>
      <c r="X19" s="18"/>
      <c r="Y19" s="6">
        <f t="shared" si="3"/>
        <v>128419.97999999998</v>
      </c>
      <c r="Z19" s="18"/>
      <c r="AA19" s="18"/>
      <c r="AB19" s="18"/>
      <c r="AC19" s="18"/>
      <c r="AD19" s="18">
        <f>100000</f>
        <v>100000</v>
      </c>
      <c r="AE19" s="18">
        <f>6455.7</f>
        <v>6455.7</v>
      </c>
      <c r="AF19" s="18">
        <f>6226.5+5930.75+24793.97+10604+5301.33+14346.5+61960.15+11432+15083.25+7172+5803</f>
        <v>168653.45</v>
      </c>
      <c r="AG19" s="18">
        <f>1199398.1</f>
        <v>1199398.1000000001</v>
      </c>
      <c r="AH19" s="6">
        <f t="shared" si="4"/>
        <v>1602927.23</v>
      </c>
      <c r="AI19" s="28">
        <f>211561.45+106667.5</f>
        <v>318228.95</v>
      </c>
    </row>
    <row r="20" spans="1:36" x14ac:dyDescent="0.55000000000000004">
      <c r="A20" s="4">
        <v>10781</v>
      </c>
      <c r="B20" s="5" t="s">
        <v>34</v>
      </c>
      <c r="C20" s="6"/>
      <c r="D20" s="6"/>
      <c r="E20" s="6"/>
      <c r="F20" s="6"/>
      <c r="G20" s="6"/>
      <c r="H20" s="6"/>
      <c r="I20" s="6"/>
      <c r="J20" s="6">
        <f t="shared" si="0"/>
        <v>0</v>
      </c>
      <c r="K20" s="18"/>
      <c r="L20" s="18"/>
      <c r="M20" s="18"/>
      <c r="N20" s="18"/>
      <c r="O20" s="18"/>
      <c r="P20" s="6">
        <f t="shared" si="1"/>
        <v>0</v>
      </c>
      <c r="Q20" s="6"/>
      <c r="R20" s="6"/>
      <c r="S20" s="6"/>
      <c r="T20" s="6"/>
      <c r="U20" s="6">
        <f t="shared" si="2"/>
        <v>0</v>
      </c>
      <c r="V20" s="18">
        <f>30275.1+840+27184.4+860+2520+1340+7708.4+6896.4+49839.1+1340+57095</f>
        <v>185898.4</v>
      </c>
      <c r="W20" s="18"/>
      <c r="X20" s="18"/>
      <c r="Y20" s="6">
        <f t="shared" si="3"/>
        <v>185898.4</v>
      </c>
      <c r="Z20" s="18"/>
      <c r="AA20" s="18"/>
      <c r="AB20" s="18"/>
      <c r="AC20" s="18"/>
      <c r="AD20" s="18">
        <f>100000</f>
        <v>100000</v>
      </c>
      <c r="AE20" s="18"/>
      <c r="AF20" s="18">
        <f>72+766+11688+9103.19+1655+9891+7280.23+7310+11875+3107+7689+1393+5371+1146+11059+2809+6243+7745+4536+11295+3730+1815.95+8639+6598+1877.34+3288+50+6285.05+9124+5440+370+5740+7278</f>
        <v>182268.75999999998</v>
      </c>
      <c r="AG20" s="18">
        <f>579558.96</f>
        <v>579558.96</v>
      </c>
      <c r="AH20" s="6">
        <f t="shared" si="4"/>
        <v>1047726.12</v>
      </c>
      <c r="AI20" s="28">
        <f>100675.25+45821</f>
        <v>146496.25</v>
      </c>
    </row>
    <row r="21" spans="1:36" ht="27" thickBot="1" x14ac:dyDescent="0.6">
      <c r="B21" s="8" t="s">
        <v>35</v>
      </c>
      <c r="C21" s="9">
        <f>SUM(C5:C20)</f>
        <v>0</v>
      </c>
      <c r="D21" s="9">
        <f t="shared" ref="D21:AH21" si="5">SUM(D5:D20)</f>
        <v>0</v>
      </c>
      <c r="E21" s="9">
        <f t="shared" si="5"/>
        <v>0</v>
      </c>
      <c r="F21" s="9">
        <f t="shared" si="5"/>
        <v>0</v>
      </c>
      <c r="G21" s="9">
        <f t="shared" si="5"/>
        <v>0</v>
      </c>
      <c r="H21" s="9">
        <f t="shared" si="5"/>
        <v>0</v>
      </c>
      <c r="I21" s="9">
        <f t="shared" si="5"/>
        <v>0</v>
      </c>
      <c r="J21" s="9">
        <f t="shared" si="5"/>
        <v>0</v>
      </c>
      <c r="K21" s="9">
        <f t="shared" si="5"/>
        <v>0</v>
      </c>
      <c r="L21" s="9">
        <f t="shared" si="5"/>
        <v>0</v>
      </c>
      <c r="M21" s="9">
        <f t="shared" si="5"/>
        <v>0</v>
      </c>
      <c r="N21" s="9">
        <f t="shared" si="5"/>
        <v>0</v>
      </c>
      <c r="O21" s="9">
        <f t="shared" si="5"/>
        <v>16941274.640000001</v>
      </c>
      <c r="P21" s="9">
        <f t="shared" si="5"/>
        <v>16941274.640000001</v>
      </c>
      <c r="Q21" s="9">
        <f t="shared" si="5"/>
        <v>0</v>
      </c>
      <c r="R21" s="9">
        <f t="shared" si="5"/>
        <v>0</v>
      </c>
      <c r="S21" s="9">
        <f t="shared" si="5"/>
        <v>0</v>
      </c>
      <c r="T21" s="9"/>
      <c r="U21" s="9">
        <f t="shared" si="5"/>
        <v>24030</v>
      </c>
      <c r="V21" s="9">
        <f t="shared" si="5"/>
        <v>23522409.77</v>
      </c>
      <c r="W21" s="9">
        <f t="shared" si="5"/>
        <v>420</v>
      </c>
      <c r="X21" s="9">
        <f t="shared" si="5"/>
        <v>0</v>
      </c>
      <c r="Y21" s="9">
        <f t="shared" si="5"/>
        <v>23522829.77</v>
      </c>
      <c r="Z21" s="9">
        <f t="shared" si="5"/>
        <v>0</v>
      </c>
      <c r="AA21" s="9">
        <f t="shared" si="5"/>
        <v>0</v>
      </c>
      <c r="AB21" s="9">
        <f t="shared" si="5"/>
        <v>0</v>
      </c>
      <c r="AC21" s="9">
        <f t="shared" si="5"/>
        <v>1525400</v>
      </c>
      <c r="AD21" s="9">
        <f>SUM(AD5:AD20)</f>
        <v>1600000</v>
      </c>
      <c r="AE21" s="9">
        <f t="shared" si="5"/>
        <v>4956675.6100000003</v>
      </c>
      <c r="AF21" s="9">
        <f t="shared" si="5"/>
        <v>10865588.610000001</v>
      </c>
      <c r="AG21" s="9">
        <f t="shared" si="5"/>
        <v>55955283.909999996</v>
      </c>
      <c r="AH21" s="9">
        <f t="shared" si="5"/>
        <v>115391082.54000002</v>
      </c>
      <c r="AI21" s="29">
        <f>SUM(AI5:AI20)</f>
        <v>15189693.199999999</v>
      </c>
    </row>
    <row r="22" spans="1:36" ht="27" thickTop="1" x14ac:dyDescent="0.55000000000000004">
      <c r="AH22" s="26">
        <f t="shared" ref="AH22:AH36" si="6">J22+P22+U22+Y22+Z22+AA22+AB22+AC22+AE22+AG22</f>
        <v>0</v>
      </c>
    </row>
    <row r="23" spans="1:36" x14ac:dyDescent="0.55000000000000004">
      <c r="AH23" s="26">
        <f t="shared" si="6"/>
        <v>0</v>
      </c>
    </row>
    <row r="24" spans="1:36" x14ac:dyDescent="0.55000000000000004">
      <c r="AH24" s="26">
        <f t="shared" si="6"/>
        <v>0</v>
      </c>
    </row>
    <row r="25" spans="1:36" x14ac:dyDescent="0.55000000000000004">
      <c r="AH25" s="26">
        <f t="shared" si="6"/>
        <v>0</v>
      </c>
    </row>
    <row r="26" spans="1:36" x14ac:dyDescent="0.55000000000000004">
      <c r="AH26" s="26">
        <f t="shared" si="6"/>
        <v>0</v>
      </c>
    </row>
    <row r="27" spans="1:36" x14ac:dyDescent="0.55000000000000004">
      <c r="AH27" s="26">
        <f t="shared" si="6"/>
        <v>0</v>
      </c>
    </row>
    <row r="28" spans="1:36" x14ac:dyDescent="0.55000000000000004">
      <c r="AH28" s="26">
        <f t="shared" si="6"/>
        <v>0</v>
      </c>
    </row>
    <row r="29" spans="1:36" x14ac:dyDescent="0.55000000000000004">
      <c r="AH29" s="26">
        <f t="shared" si="6"/>
        <v>0</v>
      </c>
    </row>
    <row r="30" spans="1:36" x14ac:dyDescent="0.55000000000000004">
      <c r="AH30" s="26">
        <f t="shared" si="6"/>
        <v>0</v>
      </c>
    </row>
    <row r="31" spans="1:36" x14ac:dyDescent="0.55000000000000004">
      <c r="AH31" s="26">
        <f t="shared" si="6"/>
        <v>0</v>
      </c>
    </row>
    <row r="32" spans="1:36" x14ac:dyDescent="0.55000000000000004">
      <c r="AH32" s="26">
        <f t="shared" si="6"/>
        <v>0</v>
      </c>
    </row>
    <row r="33" spans="1:34" x14ac:dyDescent="0.55000000000000004">
      <c r="AH33" s="26">
        <f t="shared" si="6"/>
        <v>0</v>
      </c>
    </row>
    <row r="34" spans="1:34" x14ac:dyDescent="0.55000000000000004">
      <c r="AH34" s="26">
        <f t="shared" si="6"/>
        <v>0</v>
      </c>
    </row>
    <row r="35" spans="1:34" x14ac:dyDescent="0.55000000000000004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6">
        <f t="shared" si="6"/>
        <v>0</v>
      </c>
    </row>
    <row r="36" spans="1:34" x14ac:dyDescent="0.55000000000000004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26">
        <f t="shared" si="6"/>
        <v>0</v>
      </c>
    </row>
    <row r="37" spans="1:34" x14ac:dyDescent="0.55000000000000004">
      <c r="AH37" s="26"/>
    </row>
  </sheetData>
  <mergeCells count="18">
    <mergeCell ref="AC3:AC4"/>
    <mergeCell ref="AE3:AE4"/>
    <mergeCell ref="AH3:AH4"/>
    <mergeCell ref="AI3:AI4"/>
    <mergeCell ref="AG3:AG4"/>
    <mergeCell ref="AF3:AF4"/>
    <mergeCell ref="A1:AI1"/>
    <mergeCell ref="A2:AI2"/>
    <mergeCell ref="A3:A4"/>
    <mergeCell ref="B3:B4"/>
    <mergeCell ref="C3:J3"/>
    <mergeCell ref="K3:P3"/>
    <mergeCell ref="Q3:U3"/>
    <mergeCell ref="V3:Y3"/>
    <mergeCell ref="Z3:Z4"/>
    <mergeCell ref="AA3:AA4"/>
    <mergeCell ref="AD3:AD4"/>
    <mergeCell ref="AB3:AB4"/>
  </mergeCells>
  <pageMargins left="0.31496062992125984" right="0.11811023622047245" top="0.55118110236220474" bottom="0.15748031496062992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57" workbookViewId="0">
      <selection activeCell="C62" sqref="C62"/>
    </sheetView>
  </sheetViews>
  <sheetFormatPr defaultRowHeight="45.75" customHeight="1" x14ac:dyDescent="0.55000000000000004"/>
  <cols>
    <col min="1" max="1" width="50.375" style="30" customWidth="1"/>
    <col min="2" max="2" width="22.875" style="30" customWidth="1"/>
    <col min="3" max="3" width="50.375" style="31" customWidth="1"/>
    <col min="4" max="16384" width="9" style="31"/>
  </cols>
  <sheetData>
    <row r="1" spans="1:3" ht="45.75" customHeight="1" x14ac:dyDescent="0.55000000000000004">
      <c r="A1" s="32" t="s">
        <v>66</v>
      </c>
      <c r="B1" s="32"/>
      <c r="C1" s="32" t="s">
        <v>66</v>
      </c>
    </row>
    <row r="2" spans="1:3" ht="45.75" customHeight="1" x14ac:dyDescent="0.55000000000000004">
      <c r="A2" s="32" t="s">
        <v>66</v>
      </c>
      <c r="B2" s="32"/>
      <c r="C2" s="32" t="s">
        <v>66</v>
      </c>
    </row>
    <row r="3" spans="1:3" ht="45.75" customHeight="1" x14ac:dyDescent="0.55000000000000004">
      <c r="A3" s="32" t="s">
        <v>66</v>
      </c>
      <c r="B3" s="32"/>
      <c r="C3" s="32" t="s">
        <v>66</v>
      </c>
    </row>
    <row r="4" spans="1:3" ht="45.75" customHeight="1" x14ac:dyDescent="0.55000000000000004">
      <c r="A4" s="32" t="s">
        <v>66</v>
      </c>
      <c r="B4" s="32"/>
      <c r="C4" s="32" t="s">
        <v>66</v>
      </c>
    </row>
    <row r="5" spans="1:3" ht="45.75" customHeight="1" x14ac:dyDescent="0.55000000000000004">
      <c r="A5" s="32" t="s">
        <v>66</v>
      </c>
      <c r="B5" s="32"/>
      <c r="C5" s="32" t="s">
        <v>66</v>
      </c>
    </row>
    <row r="6" spans="1:3" ht="45.75" customHeight="1" x14ac:dyDescent="0.55000000000000004">
      <c r="A6" s="32" t="s">
        <v>66</v>
      </c>
      <c r="B6" s="32"/>
      <c r="C6" s="32" t="s">
        <v>66</v>
      </c>
    </row>
    <row r="7" spans="1:3" ht="45.75" customHeight="1" x14ac:dyDescent="0.55000000000000004">
      <c r="A7" s="32" t="s">
        <v>66</v>
      </c>
      <c r="B7" s="32"/>
      <c r="C7" s="32" t="s">
        <v>66</v>
      </c>
    </row>
    <row r="8" spans="1:3" ht="45.75" customHeight="1" x14ac:dyDescent="0.55000000000000004">
      <c r="A8" s="32" t="s">
        <v>66</v>
      </c>
      <c r="B8" s="32"/>
      <c r="C8" s="32" t="s">
        <v>66</v>
      </c>
    </row>
    <row r="9" spans="1:3" ht="45.75" customHeight="1" x14ac:dyDescent="0.55000000000000004">
      <c r="A9" s="32" t="s">
        <v>66</v>
      </c>
      <c r="B9" s="32"/>
      <c r="C9" s="32" t="s">
        <v>66</v>
      </c>
    </row>
    <row r="10" spans="1:3" ht="45.75" customHeight="1" x14ac:dyDescent="0.55000000000000004">
      <c r="A10" s="32" t="s">
        <v>66</v>
      </c>
      <c r="B10" s="32"/>
      <c r="C10" s="32" t="s">
        <v>66</v>
      </c>
    </row>
    <row r="11" spans="1:3" ht="45.75" customHeight="1" x14ac:dyDescent="0.55000000000000004">
      <c r="A11" s="32" t="s">
        <v>66</v>
      </c>
      <c r="B11" s="32"/>
      <c r="C11" s="32" t="s">
        <v>66</v>
      </c>
    </row>
    <row r="12" spans="1:3" ht="45.75" customHeight="1" x14ac:dyDescent="0.55000000000000004">
      <c r="A12" s="32" t="s">
        <v>66</v>
      </c>
      <c r="B12" s="32"/>
      <c r="C12" s="32" t="s">
        <v>66</v>
      </c>
    </row>
    <row r="13" spans="1:3" ht="45.75" customHeight="1" x14ac:dyDescent="0.55000000000000004">
      <c r="A13" s="32" t="s">
        <v>66</v>
      </c>
      <c r="B13" s="32"/>
      <c r="C13" s="32" t="s">
        <v>66</v>
      </c>
    </row>
    <row r="14" spans="1:3" ht="45.75" customHeight="1" x14ac:dyDescent="0.55000000000000004">
      <c r="A14" s="32" t="s">
        <v>66</v>
      </c>
      <c r="B14" s="32"/>
      <c r="C14" s="32" t="s">
        <v>66</v>
      </c>
    </row>
    <row r="15" spans="1:3" ht="45.75" customHeight="1" x14ac:dyDescent="0.55000000000000004">
      <c r="A15" s="32" t="s">
        <v>66</v>
      </c>
      <c r="B15" s="32"/>
      <c r="C15" s="32" t="s">
        <v>66</v>
      </c>
    </row>
    <row r="16" spans="1:3" ht="45.75" customHeight="1" x14ac:dyDescent="0.55000000000000004">
      <c r="A16" s="32" t="s">
        <v>66</v>
      </c>
      <c r="B16" s="32"/>
      <c r="C16" s="32" t="s">
        <v>66</v>
      </c>
    </row>
    <row r="17" spans="1:3" ht="45.75" customHeight="1" x14ac:dyDescent="0.55000000000000004">
      <c r="A17" s="32" t="s">
        <v>66</v>
      </c>
      <c r="B17" s="32"/>
      <c r="C17" s="32" t="s">
        <v>66</v>
      </c>
    </row>
    <row r="18" spans="1:3" ht="45.75" customHeight="1" x14ac:dyDescent="0.55000000000000004">
      <c r="A18" s="32" t="s">
        <v>66</v>
      </c>
      <c r="B18" s="32"/>
      <c r="C18" s="32" t="s">
        <v>66</v>
      </c>
    </row>
    <row r="19" spans="1:3" ht="45.75" customHeight="1" x14ac:dyDescent="0.55000000000000004">
      <c r="A19" s="32" t="s">
        <v>66</v>
      </c>
      <c r="B19" s="32"/>
      <c r="C19" s="32" t="s">
        <v>66</v>
      </c>
    </row>
    <row r="20" spans="1:3" ht="45.75" customHeight="1" x14ac:dyDescent="0.55000000000000004">
      <c r="A20" s="32" t="s">
        <v>66</v>
      </c>
      <c r="B20" s="32"/>
      <c r="C20" s="32" t="s">
        <v>66</v>
      </c>
    </row>
    <row r="21" spans="1:3" ht="45.75" customHeight="1" x14ac:dyDescent="0.55000000000000004">
      <c r="A21" s="32" t="s">
        <v>66</v>
      </c>
      <c r="B21" s="32"/>
      <c r="C21" s="32" t="s">
        <v>66</v>
      </c>
    </row>
    <row r="22" spans="1:3" ht="45.75" customHeight="1" x14ac:dyDescent="0.55000000000000004">
      <c r="A22" s="32" t="s">
        <v>66</v>
      </c>
      <c r="B22" s="32"/>
      <c r="C22" s="32" t="s">
        <v>66</v>
      </c>
    </row>
    <row r="23" spans="1:3" ht="45.75" customHeight="1" x14ac:dyDescent="0.55000000000000004">
      <c r="A23" s="32" t="s">
        <v>66</v>
      </c>
      <c r="B23" s="32"/>
      <c r="C23" s="32" t="s">
        <v>66</v>
      </c>
    </row>
    <row r="24" spans="1:3" ht="45.75" customHeight="1" x14ac:dyDescent="0.55000000000000004">
      <c r="A24" s="32" t="s">
        <v>66</v>
      </c>
      <c r="B24" s="32"/>
      <c r="C24" s="32" t="s">
        <v>66</v>
      </c>
    </row>
    <row r="25" spans="1:3" ht="45.75" customHeight="1" x14ac:dyDescent="0.55000000000000004">
      <c r="A25" s="32" t="s">
        <v>66</v>
      </c>
      <c r="B25" s="32"/>
      <c r="C25" s="32" t="s">
        <v>66</v>
      </c>
    </row>
    <row r="26" spans="1:3" ht="45.75" customHeight="1" x14ac:dyDescent="0.55000000000000004">
      <c r="A26" s="32" t="s">
        <v>66</v>
      </c>
      <c r="B26" s="32"/>
      <c r="C26" s="32" t="s">
        <v>66</v>
      </c>
    </row>
    <row r="27" spans="1:3" ht="45.75" customHeight="1" x14ac:dyDescent="0.55000000000000004">
      <c r="A27" s="32" t="s">
        <v>66</v>
      </c>
      <c r="B27" s="32"/>
      <c r="C27" s="32" t="s">
        <v>66</v>
      </c>
    </row>
    <row r="28" spans="1:3" ht="45.75" customHeight="1" x14ac:dyDescent="0.55000000000000004">
      <c r="A28" s="32" t="s">
        <v>66</v>
      </c>
      <c r="B28" s="32"/>
      <c r="C28" s="32" t="s">
        <v>66</v>
      </c>
    </row>
    <row r="29" spans="1:3" ht="45.75" customHeight="1" x14ac:dyDescent="0.55000000000000004">
      <c r="A29" s="32" t="s">
        <v>66</v>
      </c>
      <c r="B29" s="32"/>
      <c r="C29" s="32" t="s">
        <v>66</v>
      </c>
    </row>
    <row r="30" spans="1:3" ht="45.75" customHeight="1" x14ac:dyDescent="0.55000000000000004">
      <c r="A30" s="32" t="s">
        <v>66</v>
      </c>
      <c r="B30" s="32"/>
      <c r="C30" s="32" t="s">
        <v>66</v>
      </c>
    </row>
    <row r="31" spans="1:3" ht="45.75" customHeight="1" x14ac:dyDescent="0.55000000000000004">
      <c r="A31" s="32" t="s">
        <v>66</v>
      </c>
      <c r="B31" s="32"/>
      <c r="C31" s="32" t="s">
        <v>66</v>
      </c>
    </row>
    <row r="32" spans="1:3" ht="45.75" customHeight="1" x14ac:dyDescent="0.55000000000000004">
      <c r="A32" s="32" t="s">
        <v>66</v>
      </c>
      <c r="B32" s="32"/>
      <c r="C32" s="32" t="s">
        <v>66</v>
      </c>
    </row>
    <row r="33" spans="1:3" ht="45.75" customHeight="1" x14ac:dyDescent="0.55000000000000004">
      <c r="A33" s="32" t="s">
        <v>66</v>
      </c>
      <c r="B33" s="32"/>
      <c r="C33" s="32" t="s">
        <v>66</v>
      </c>
    </row>
    <row r="34" spans="1:3" ht="45.75" customHeight="1" x14ac:dyDescent="0.55000000000000004">
      <c r="A34" s="32" t="s">
        <v>66</v>
      </c>
      <c r="B34" s="32"/>
      <c r="C34" s="32" t="s">
        <v>66</v>
      </c>
    </row>
    <row r="35" spans="1:3" ht="45.75" customHeight="1" x14ac:dyDescent="0.55000000000000004">
      <c r="A35" s="32" t="s">
        <v>66</v>
      </c>
      <c r="B35" s="32"/>
      <c r="C35" s="32" t="s">
        <v>66</v>
      </c>
    </row>
    <row r="36" spans="1:3" ht="45.75" customHeight="1" x14ac:dyDescent="0.55000000000000004">
      <c r="A36" s="32" t="s">
        <v>66</v>
      </c>
      <c r="B36" s="32"/>
      <c r="C36" s="32" t="s">
        <v>66</v>
      </c>
    </row>
    <row r="37" spans="1:3" ht="45.75" customHeight="1" x14ac:dyDescent="0.55000000000000004">
      <c r="A37" s="32" t="s">
        <v>66</v>
      </c>
      <c r="B37" s="32"/>
      <c r="C37" s="32" t="s">
        <v>66</v>
      </c>
    </row>
    <row r="38" spans="1:3" ht="45.75" customHeight="1" x14ac:dyDescent="0.55000000000000004">
      <c r="A38" s="32" t="s">
        <v>66</v>
      </c>
      <c r="B38" s="32"/>
      <c r="C38" s="32" t="s">
        <v>66</v>
      </c>
    </row>
    <row r="39" spans="1:3" ht="45.75" customHeight="1" x14ac:dyDescent="0.55000000000000004">
      <c r="A39" s="32" t="s">
        <v>66</v>
      </c>
      <c r="B39" s="32"/>
      <c r="C39" s="32" t="s">
        <v>66</v>
      </c>
    </row>
    <row r="40" spans="1:3" ht="45.75" customHeight="1" x14ac:dyDescent="0.55000000000000004">
      <c r="A40" s="32" t="s">
        <v>66</v>
      </c>
      <c r="B40" s="32"/>
      <c r="C40" s="32" t="s">
        <v>66</v>
      </c>
    </row>
    <row r="41" spans="1:3" ht="45.75" customHeight="1" x14ac:dyDescent="0.55000000000000004">
      <c r="A41" s="32" t="s">
        <v>66</v>
      </c>
      <c r="B41" s="32"/>
      <c r="C41" s="32" t="s">
        <v>66</v>
      </c>
    </row>
    <row r="42" spans="1:3" ht="45.75" customHeight="1" x14ac:dyDescent="0.55000000000000004">
      <c r="A42" s="32" t="s">
        <v>66</v>
      </c>
      <c r="B42" s="32"/>
      <c r="C42" s="32" t="s">
        <v>66</v>
      </c>
    </row>
    <row r="43" spans="1:3" ht="45.75" customHeight="1" x14ac:dyDescent="0.55000000000000004">
      <c r="A43" s="32" t="s">
        <v>66</v>
      </c>
      <c r="B43" s="32"/>
      <c r="C43" s="32" t="s">
        <v>66</v>
      </c>
    </row>
    <row r="44" spans="1:3" ht="45.75" customHeight="1" x14ac:dyDescent="0.55000000000000004">
      <c r="A44" s="32" t="s">
        <v>66</v>
      </c>
      <c r="B44" s="32"/>
      <c r="C44" s="32" t="s">
        <v>66</v>
      </c>
    </row>
    <row r="45" spans="1:3" ht="45.75" customHeight="1" x14ac:dyDescent="0.55000000000000004">
      <c r="A45" s="32" t="s">
        <v>66</v>
      </c>
      <c r="B45" s="32"/>
      <c r="C45" s="32" t="s">
        <v>66</v>
      </c>
    </row>
    <row r="46" spans="1:3" ht="45.75" customHeight="1" x14ac:dyDescent="0.55000000000000004">
      <c r="A46" s="32" t="s">
        <v>66</v>
      </c>
      <c r="B46" s="32"/>
      <c r="C46" s="32" t="s">
        <v>66</v>
      </c>
    </row>
    <row r="47" spans="1:3" ht="45.75" customHeight="1" x14ac:dyDescent="0.55000000000000004">
      <c r="A47" s="32" t="s">
        <v>66</v>
      </c>
      <c r="B47" s="32"/>
      <c r="C47" s="32" t="s">
        <v>66</v>
      </c>
    </row>
    <row r="48" spans="1:3" ht="45.75" customHeight="1" x14ac:dyDescent="0.55000000000000004">
      <c r="A48" s="32" t="s">
        <v>66</v>
      </c>
      <c r="B48" s="32"/>
      <c r="C48" s="32" t="s">
        <v>66</v>
      </c>
    </row>
    <row r="49" spans="1:3" ht="45.75" customHeight="1" x14ac:dyDescent="0.55000000000000004">
      <c r="A49" s="32" t="s">
        <v>66</v>
      </c>
      <c r="B49" s="32"/>
      <c r="C49" s="32" t="s">
        <v>66</v>
      </c>
    </row>
    <row r="50" spans="1:3" ht="45.75" customHeight="1" x14ac:dyDescent="0.55000000000000004">
      <c r="A50" s="32" t="s">
        <v>66</v>
      </c>
      <c r="B50" s="32"/>
      <c r="C50" s="32" t="s">
        <v>66</v>
      </c>
    </row>
    <row r="51" spans="1:3" ht="45.75" customHeight="1" x14ac:dyDescent="0.55000000000000004">
      <c r="A51" s="32" t="s">
        <v>66</v>
      </c>
      <c r="B51" s="32"/>
      <c r="C51" s="32" t="s">
        <v>66</v>
      </c>
    </row>
    <row r="52" spans="1:3" ht="45.75" customHeight="1" x14ac:dyDescent="0.55000000000000004">
      <c r="A52" s="32" t="s">
        <v>66</v>
      </c>
      <c r="B52" s="32"/>
      <c r="C52" s="32" t="s">
        <v>66</v>
      </c>
    </row>
    <row r="53" spans="1:3" ht="45.75" customHeight="1" x14ac:dyDescent="0.55000000000000004">
      <c r="A53" s="32" t="s">
        <v>66</v>
      </c>
      <c r="B53" s="32"/>
      <c r="C53" s="32" t="s">
        <v>66</v>
      </c>
    </row>
    <row r="54" spans="1:3" ht="45.75" customHeight="1" x14ac:dyDescent="0.55000000000000004">
      <c r="A54" s="32" t="s">
        <v>66</v>
      </c>
      <c r="B54" s="32"/>
      <c r="C54" s="32" t="s">
        <v>66</v>
      </c>
    </row>
    <row r="55" spans="1:3" ht="45.75" customHeight="1" x14ac:dyDescent="0.55000000000000004">
      <c r="A55" s="32" t="s">
        <v>66</v>
      </c>
      <c r="B55" s="32"/>
      <c r="C55" s="32" t="s">
        <v>66</v>
      </c>
    </row>
    <row r="56" spans="1:3" ht="45.75" customHeight="1" x14ac:dyDescent="0.55000000000000004">
      <c r="A56" s="32" t="s">
        <v>66</v>
      </c>
      <c r="B56" s="32"/>
      <c r="C56" s="32" t="s">
        <v>66</v>
      </c>
    </row>
    <row r="57" spans="1:3" ht="45.75" customHeight="1" x14ac:dyDescent="0.55000000000000004">
      <c r="A57" s="32" t="s">
        <v>66</v>
      </c>
      <c r="B57" s="32"/>
      <c r="C57" s="32" t="s">
        <v>66</v>
      </c>
    </row>
    <row r="58" spans="1:3" ht="45.75" customHeight="1" x14ac:dyDescent="0.55000000000000004">
      <c r="A58" s="32" t="s">
        <v>66</v>
      </c>
      <c r="B58" s="32"/>
      <c r="C58" s="32" t="s">
        <v>66</v>
      </c>
    </row>
    <row r="59" spans="1:3" ht="45.75" customHeight="1" x14ac:dyDescent="0.55000000000000004">
      <c r="A59" s="32" t="s">
        <v>66</v>
      </c>
      <c r="B59" s="32"/>
      <c r="C59" s="32" t="s">
        <v>66</v>
      </c>
    </row>
    <row r="60" spans="1:3" ht="45.75" customHeight="1" x14ac:dyDescent="0.55000000000000004">
      <c r="A60" s="32" t="s">
        <v>66</v>
      </c>
      <c r="B60" s="32"/>
      <c r="C60" s="32" t="s">
        <v>66</v>
      </c>
    </row>
    <row r="61" spans="1:3" ht="45.75" customHeight="1" x14ac:dyDescent="0.55000000000000004">
      <c r="A61" s="32" t="s">
        <v>66</v>
      </c>
      <c r="B61" s="32"/>
      <c r="C61" s="32" t="s">
        <v>66</v>
      </c>
    </row>
    <row r="62" spans="1:3" ht="45.75" customHeight="1" x14ac:dyDescent="0.55000000000000004">
      <c r="A62" s="32" t="s">
        <v>66</v>
      </c>
      <c r="B62" s="32"/>
      <c r="C62" s="32" t="s">
        <v>66</v>
      </c>
    </row>
    <row r="63" spans="1:3" ht="45.75" customHeight="1" x14ac:dyDescent="0.55000000000000004">
      <c r="A63" s="32" t="s">
        <v>66</v>
      </c>
      <c r="B63" s="32"/>
      <c r="C63" s="32" t="s">
        <v>66</v>
      </c>
    </row>
    <row r="64" spans="1:3" ht="45.75" customHeight="1" x14ac:dyDescent="0.55000000000000004">
      <c r="A64" s="32" t="s">
        <v>66</v>
      </c>
      <c r="B64" s="32"/>
      <c r="C64" s="32" t="s">
        <v>66</v>
      </c>
    </row>
    <row r="65" spans="1:3" ht="45.75" customHeight="1" x14ac:dyDescent="0.55000000000000004">
      <c r="A65" s="32" t="s">
        <v>66</v>
      </c>
      <c r="B65" s="32"/>
      <c r="C65" s="32" t="s">
        <v>66</v>
      </c>
    </row>
    <row r="66" spans="1:3" ht="45.75" customHeight="1" x14ac:dyDescent="0.55000000000000004">
      <c r="A66" s="32" t="s">
        <v>66</v>
      </c>
      <c r="B66" s="32"/>
      <c r="C66" s="32" t="s">
        <v>66</v>
      </c>
    </row>
    <row r="67" spans="1:3" ht="45.75" customHeight="1" x14ac:dyDescent="0.55000000000000004">
      <c r="A67" s="32" t="s">
        <v>66</v>
      </c>
      <c r="B67" s="32"/>
      <c r="C67" s="32" t="s">
        <v>66</v>
      </c>
    </row>
    <row r="68" spans="1:3" ht="45.75" customHeight="1" x14ac:dyDescent="0.55000000000000004">
      <c r="A68" s="32" t="s">
        <v>66</v>
      </c>
      <c r="B68" s="32"/>
      <c r="C68" s="32" t="s">
        <v>66</v>
      </c>
    </row>
    <row r="69" spans="1:3" ht="45.75" customHeight="1" x14ac:dyDescent="0.55000000000000004">
      <c r="A69" s="32" t="s">
        <v>66</v>
      </c>
      <c r="B69" s="32"/>
      <c r="C69" s="32" t="s">
        <v>66</v>
      </c>
    </row>
    <row r="70" spans="1:3" ht="45.75" customHeight="1" x14ac:dyDescent="0.55000000000000004">
      <c r="A70" s="32" t="s">
        <v>66</v>
      </c>
      <c r="B70" s="32"/>
      <c r="C70" s="32" t="s">
        <v>66</v>
      </c>
    </row>
    <row r="71" spans="1:3" ht="45.75" customHeight="1" x14ac:dyDescent="0.55000000000000004">
      <c r="A71" s="32" t="s">
        <v>66</v>
      </c>
      <c r="B71" s="32"/>
      <c r="C71" s="32" t="s">
        <v>66</v>
      </c>
    </row>
    <row r="72" spans="1:3" ht="45.75" customHeight="1" x14ac:dyDescent="0.55000000000000004">
      <c r="A72" s="32" t="s">
        <v>66</v>
      </c>
      <c r="B72" s="32"/>
      <c r="C72" s="32" t="s">
        <v>66</v>
      </c>
    </row>
    <row r="73" spans="1:3" ht="45.75" customHeight="1" x14ac:dyDescent="0.55000000000000004">
      <c r="A73" s="32" t="s">
        <v>66</v>
      </c>
      <c r="B73" s="32"/>
      <c r="C73" s="32" t="s">
        <v>66</v>
      </c>
    </row>
    <row r="74" spans="1:3" ht="45.75" customHeight="1" x14ac:dyDescent="0.55000000000000004">
      <c r="A74" s="32" t="s">
        <v>66</v>
      </c>
      <c r="B74" s="32"/>
      <c r="C74" s="32" t="s">
        <v>66</v>
      </c>
    </row>
    <row r="75" spans="1:3" ht="45.75" customHeight="1" x14ac:dyDescent="0.55000000000000004">
      <c r="A75" s="32" t="s">
        <v>66</v>
      </c>
      <c r="B75" s="32"/>
      <c r="C75" s="32" t="s">
        <v>66</v>
      </c>
    </row>
    <row r="76" spans="1:3" ht="45.75" customHeight="1" x14ac:dyDescent="0.55000000000000004">
      <c r="A76" s="32" t="s">
        <v>66</v>
      </c>
      <c r="B76" s="32"/>
      <c r="C76" s="32" t="s">
        <v>66</v>
      </c>
    </row>
    <row r="77" spans="1:3" ht="45.75" customHeight="1" x14ac:dyDescent="0.55000000000000004">
      <c r="A77" s="32" t="s">
        <v>66</v>
      </c>
      <c r="B77" s="32"/>
      <c r="C77" s="32" t="s">
        <v>66</v>
      </c>
    </row>
    <row r="78" spans="1:3" ht="45.75" customHeight="1" x14ac:dyDescent="0.55000000000000004">
      <c r="A78" s="32" t="s">
        <v>66</v>
      </c>
      <c r="B78" s="32"/>
      <c r="C78" s="32" t="s">
        <v>66</v>
      </c>
    </row>
    <row r="79" spans="1:3" ht="45.75" customHeight="1" x14ac:dyDescent="0.55000000000000004">
      <c r="A79" s="32" t="s">
        <v>66</v>
      </c>
      <c r="B79" s="32"/>
      <c r="C79" s="32" t="s">
        <v>66</v>
      </c>
    </row>
    <row r="80" spans="1:3" ht="45.75" customHeight="1" x14ac:dyDescent="0.55000000000000004">
      <c r="A80" s="32" t="s">
        <v>66</v>
      </c>
      <c r="B80" s="32"/>
      <c r="C80" s="32" t="s">
        <v>66</v>
      </c>
    </row>
    <row r="81" spans="1:3" ht="45.75" customHeight="1" x14ac:dyDescent="0.55000000000000004">
      <c r="A81" s="32" t="s">
        <v>66</v>
      </c>
      <c r="B81" s="32"/>
      <c r="C81" s="32" t="s">
        <v>66</v>
      </c>
    </row>
    <row r="82" spans="1:3" ht="45.75" customHeight="1" x14ac:dyDescent="0.55000000000000004">
      <c r="A82" s="32" t="s">
        <v>66</v>
      </c>
      <c r="B82" s="32"/>
      <c r="C82" s="32" t="s">
        <v>66</v>
      </c>
    </row>
    <row r="83" spans="1:3" ht="45.75" customHeight="1" x14ac:dyDescent="0.55000000000000004">
      <c r="A83" s="32" t="s">
        <v>66</v>
      </c>
      <c r="B83" s="32"/>
      <c r="C83" s="32" t="s">
        <v>66</v>
      </c>
    </row>
    <row r="84" spans="1:3" ht="45.75" customHeight="1" x14ac:dyDescent="0.55000000000000004">
      <c r="A84" s="32" t="s">
        <v>66</v>
      </c>
      <c r="B84" s="32"/>
      <c r="C84" s="32" t="s">
        <v>66</v>
      </c>
    </row>
  </sheetData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ธ.ค.59</vt:lpstr>
      <vt:lpstr>DATA ธ.ค.59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SSJ</cp:lastModifiedBy>
  <cp:lastPrinted>2017-01-12T08:13:17Z</cp:lastPrinted>
  <dcterms:created xsi:type="dcterms:W3CDTF">2016-12-28T03:52:08Z</dcterms:created>
  <dcterms:modified xsi:type="dcterms:W3CDTF">2017-01-12T08:46:37Z</dcterms:modified>
</cp:coreProperties>
</file>